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05" yWindow="-45" windowWidth="19545" windowHeight="11700" activeTab="2"/>
  </bookViews>
  <sheets>
    <sheet name="Données brutes" sheetId="1" r:id="rId1"/>
    <sheet name="Calculs " sheetId="4" r:id="rId2"/>
    <sheet name="Résultat " sheetId="5" r:id="rId3"/>
  </sheets>
  <externalReferences>
    <externalReference r:id="rId4"/>
  </externalReferences>
  <definedNames>
    <definedName name="Commentaire">#REF!</definedName>
  </definedNames>
  <calcPr calcId="145621"/>
</workbook>
</file>

<file path=xl/calcChain.xml><?xml version="1.0" encoding="utf-8"?>
<calcChain xmlns="http://schemas.openxmlformats.org/spreadsheetml/2006/main">
  <c r="C52" i="4" l="1"/>
  <c r="G31" i="4"/>
  <c r="G28" i="4"/>
  <c r="G25" i="4"/>
  <c r="E9" i="4"/>
  <c r="G22" i="4"/>
  <c r="F32" i="4"/>
  <c r="F29" i="4"/>
  <c r="F26" i="4"/>
  <c r="F31" i="4"/>
  <c r="F34" i="4" s="1"/>
  <c r="E36" i="4" s="1"/>
  <c r="F28" i="4"/>
  <c r="F25" i="4"/>
  <c r="F30" i="4"/>
  <c r="F33" i="4"/>
  <c r="F27" i="4"/>
  <c r="F24" i="4"/>
  <c r="F22" i="4"/>
  <c r="F23" i="4"/>
  <c r="F12" i="1"/>
  <c r="E12" i="1"/>
  <c r="F11" i="1"/>
  <c r="E11" i="1"/>
  <c r="F10" i="1"/>
  <c r="E10" i="1"/>
  <c r="F9" i="1"/>
  <c r="E9" i="1"/>
  <c r="F8" i="1"/>
  <c r="E8" i="1"/>
  <c r="E7" i="1"/>
  <c r="E6" i="1"/>
  <c r="F5" i="1"/>
  <c r="E5" i="1"/>
  <c r="F4" i="1"/>
  <c r="E4" i="1"/>
  <c r="B7" i="5" l="1"/>
  <c r="C23" i="4" l="1"/>
  <c r="C33" i="4"/>
  <c r="C32" i="4"/>
  <c r="C31" i="4"/>
  <c r="D31" i="4" s="1"/>
  <c r="C30" i="4"/>
  <c r="C29" i="4"/>
  <c r="C28" i="4"/>
  <c r="D28" i="4" s="1"/>
  <c r="C27" i="4"/>
  <c r="C26" i="4"/>
  <c r="C25" i="4"/>
  <c r="D25" i="4" s="1"/>
  <c r="C24" i="4"/>
  <c r="C22" i="4"/>
  <c r="D22" i="4" s="1"/>
  <c r="C15" i="4"/>
  <c r="F17" i="5" s="1"/>
  <c r="C14" i="4"/>
  <c r="B3" i="4"/>
  <c r="E31" i="4" l="1"/>
  <c r="F15" i="5"/>
  <c r="E22" i="4"/>
  <c r="E25" i="4"/>
  <c r="D30" i="4"/>
  <c r="G30" i="4" s="1"/>
  <c r="D32" i="4"/>
  <c r="G32" i="4" s="1"/>
  <c r="D27" i="4"/>
  <c r="G27" i="4" s="1"/>
  <c r="D24" i="4"/>
  <c r="G24" i="4" s="1"/>
  <c r="D26" i="4"/>
  <c r="G26" i="4" s="1"/>
  <c r="D29" i="4"/>
  <c r="G29" i="4" s="1"/>
  <c r="D38" i="4"/>
  <c r="D33" i="4"/>
  <c r="G33" i="4" s="1"/>
  <c r="F38" i="4"/>
  <c r="F19" i="5" s="1"/>
  <c r="C34" i="4"/>
  <c r="E28" i="4"/>
  <c r="D23" i="4"/>
  <c r="G23" i="4" s="1"/>
  <c r="C17" i="4"/>
  <c r="D34" i="4" l="1"/>
  <c r="G34" i="4" l="1"/>
  <c r="E40" i="4" s="1"/>
  <c r="E42" i="4" s="1"/>
  <c r="C49" i="4" s="1"/>
  <c r="F23" i="5" s="1"/>
  <c r="F21" i="5" l="1"/>
  <c r="E26" i="5" s="1"/>
  <c r="E46" i="4"/>
</calcChain>
</file>

<file path=xl/sharedStrings.xml><?xml version="1.0" encoding="utf-8"?>
<sst xmlns="http://schemas.openxmlformats.org/spreadsheetml/2006/main" count="280" uniqueCount="112">
  <si>
    <t>X Parameter</t>
  </si>
  <si>
    <t>Y Parameter</t>
  </si>
  <si>
    <t>Gate</t>
  </si>
  <si>
    <t>Number</t>
  </si>
  <si>
    <t>%Total</t>
  </si>
  <si>
    <t>%Gated</t>
  </si>
  <si>
    <t>%GP Gated</t>
  </si>
  <si>
    <t>All</t>
  </si>
  <si>
    <t>Leucocytes</t>
  </si>
  <si>
    <t>Plasmocytes</t>
  </si>
  <si>
    <t>19+56- kappa</t>
  </si>
  <si>
    <t>19+56- lambda</t>
  </si>
  <si>
    <t>D--</t>
  </si>
  <si>
    <t>D++</t>
  </si>
  <si>
    <t>19+56+ kappa</t>
  </si>
  <si>
    <t>19+56+ lambda</t>
  </si>
  <si>
    <t>F--</t>
  </si>
  <si>
    <t>F++</t>
  </si>
  <si>
    <t>19-56+ kappa</t>
  </si>
  <si>
    <t>19-56+ lambda</t>
  </si>
  <si>
    <t>E--</t>
  </si>
  <si>
    <t>E++</t>
  </si>
  <si>
    <t>19-56- kappa</t>
  </si>
  <si>
    <t>19-56- lambda</t>
  </si>
  <si>
    <t>G--</t>
  </si>
  <si>
    <t>G++</t>
  </si>
  <si>
    <t>Calculs et résultats MRD myélome</t>
  </si>
  <si>
    <t>Nom :</t>
  </si>
  <si>
    <r>
      <t xml:space="preserve">Nature : </t>
    </r>
    <r>
      <rPr>
        <b/>
        <sz val="10"/>
        <rFont val="Arial"/>
        <family val="2"/>
      </rPr>
      <t>Moelle Macrolysée</t>
    </r>
  </si>
  <si>
    <t>Date analyse :</t>
  </si>
  <si>
    <t>PC normaux</t>
  </si>
  <si>
    <t>Leucocytes (events) :</t>
  </si>
  <si>
    <t>Plasmocytes (events) :</t>
  </si>
  <si>
    <t>Plasmocytes / Leucocytes :</t>
  </si>
  <si>
    <t>Events</t>
  </si>
  <si>
    <t>% brut</t>
  </si>
  <si>
    <t>Ratio evts K/L</t>
  </si>
  <si>
    <t>PC 19+ 56-</t>
  </si>
  <si>
    <t>Kappa+</t>
  </si>
  <si>
    <t>Lambda+</t>
  </si>
  <si>
    <t>PC 19+ 56+</t>
  </si>
  <si>
    <t>PC 19- 56+</t>
  </si>
  <si>
    <t>PC 19- 56-</t>
  </si>
  <si>
    <t>Total</t>
  </si>
  <si>
    <t>Plasmocytes / Leucocytes corrigé :</t>
  </si>
  <si>
    <t>Seuil de détection (LOD) :</t>
  </si>
  <si>
    <t>soit</t>
  </si>
  <si>
    <t>% de plasmocytes Normaux :</t>
  </si>
  <si>
    <t>% de plasmocytes Tumoraux :</t>
  </si>
  <si>
    <t xml:space="preserve">Dilution de la Moëlle : </t>
  </si>
  <si>
    <t>% de Plasmocytes Normaux dans les Leucocytes :</t>
  </si>
  <si>
    <t>% de Plasmocytes Tumoraux dans les Leucocytes</t>
  </si>
  <si>
    <t>MRD :</t>
  </si>
  <si>
    <t>NB PC MM:</t>
  </si>
  <si>
    <t>PC 19-56-</t>
  </si>
  <si>
    <t>PC 19-56+</t>
  </si>
  <si>
    <t>PC 19+56-</t>
  </si>
  <si>
    <t>PC 19+56+</t>
  </si>
  <si>
    <t>Patient :</t>
  </si>
  <si>
    <t>ANALYSE DE CYTOMETRIE EN FLUX</t>
  </si>
  <si>
    <t>Cellules nucléées : …………………………………………………………….</t>
  </si>
  <si>
    <t>Plasmocytes MM : ……………………………………………………………...</t>
  </si>
  <si>
    <r>
      <rPr>
        <b/>
        <sz val="12"/>
        <color indexed="8"/>
        <rFont val="Arial"/>
        <family val="2"/>
      </rPr>
      <t>Limite de détection</t>
    </r>
    <r>
      <rPr>
        <sz val="12"/>
        <color indexed="8"/>
        <rFont val="Arial"/>
        <family val="2"/>
      </rPr>
      <t xml:space="preserve"> (100x20/cellules nucléées) : ……………………….</t>
    </r>
  </si>
  <si>
    <r>
      <rPr>
        <b/>
        <sz val="12"/>
        <color indexed="8"/>
        <rFont val="Arial"/>
        <family val="2"/>
      </rPr>
      <t>% de plasmocytes Monoclonaux</t>
    </r>
    <r>
      <rPr>
        <sz val="12"/>
        <color indexed="8"/>
        <rFont val="Arial"/>
        <family val="2"/>
      </rPr>
      <t xml:space="preserve"> / cellules nucléées : ………………………</t>
    </r>
  </si>
  <si>
    <r>
      <t>MRD MM</t>
    </r>
    <r>
      <rPr>
        <sz val="12"/>
        <color indexed="8"/>
        <rFont val="Arial"/>
        <family val="2"/>
      </rPr>
      <t xml:space="preserve"> : ………………………………………………………………….</t>
    </r>
  </si>
  <si>
    <t>MALADIE RESIDUELLE</t>
  </si>
  <si>
    <t>Technique 10 couleurs Analyse 8 couleurs</t>
  </si>
  <si>
    <t>Plasmo</t>
  </si>
  <si>
    <t>Cells/μL</t>
  </si>
  <si>
    <t>X-Med</t>
  </si>
  <si>
    <t>X-MedBin</t>
  </si>
  <si>
    <t>X-AMean</t>
  </si>
  <si>
    <t>X-Mode</t>
  </si>
  <si>
    <t>X-Stdev</t>
  </si>
  <si>
    <t>X-CV</t>
  </si>
  <si>
    <t>HP X-CV</t>
  </si>
  <si>
    <t>X-Min</t>
  </si>
  <si>
    <t>X-Max</t>
  </si>
  <si>
    <t>X-GMean</t>
  </si>
  <si>
    <t>Y-Med</t>
  </si>
  <si>
    <t>Y-MedBin</t>
  </si>
  <si>
    <t>Y-AMean</t>
  </si>
  <si>
    <t>Y-Mode</t>
  </si>
  <si>
    <t>Y-Stdev</t>
  </si>
  <si>
    <t>Y-CV</t>
  </si>
  <si>
    <t>HP Y-CV</t>
  </si>
  <si>
    <t>Y-Min</t>
  </si>
  <si>
    <t>Y-Max</t>
  </si>
  <si>
    <t>Y-GMean</t>
  </si>
  <si>
    <t>Logic</t>
  </si>
  <si>
    <t>FSC-A</t>
  </si>
  <si>
    <t>SSC-A</t>
  </si>
  <si>
    <t>Kappa</t>
  </si>
  <si>
    <t>Lambda AF750</t>
  </si>
  <si>
    <t>Protocol</t>
  </si>
  <si>
    <t>Sheet</t>
  </si>
  <si>
    <t>Data Set</t>
  </si>
  <si>
    <t>Input Gate</t>
  </si>
  <si>
    <t>2. Analyses MM CYTHEM CANTO</t>
  </si>
  <si>
    <t>Plot Sheet 1</t>
  </si>
  <si>
    <t>Specimen_001_Tube_001_001</t>
  </si>
  <si>
    <t>[Ungated]</t>
  </si>
  <si>
    <t>[Leucocytes]</t>
  </si>
  <si>
    <t>[Plasmo]</t>
  </si>
  <si>
    <t>[Plasmocytes]</t>
  </si>
  <si>
    <t>[PC 19+56-]</t>
  </si>
  <si>
    <t>[PC 19+56+]</t>
  </si>
  <si>
    <t>[PC 19-56+]</t>
  </si>
  <si>
    <t>[PC 19-56-]</t>
  </si>
  <si>
    <t>PC corrigés</t>
  </si>
  <si>
    <t>Ratio CD19+</t>
  </si>
  <si>
    <t xml:space="preserve"> MRD MYELOME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</si>
</sst>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.000%"/>
    <numFmt numFmtId="165" formatCode="0.00000%"/>
    <numFmt numFmtId="166" formatCode="0.0000%"/>
    <numFmt numFmtId="167" formatCode="0.000"/>
    <numFmt numFmtId="168" formatCode="0.0E+00"/>
  </numFmts>
  <fonts count="4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4"/>
      <name val="Arial"/>
      <family val="2"/>
    </font>
    <font>
      <b/>
      <u/>
      <sz val="16"/>
      <name val="Arial"/>
      <family val="2"/>
    </font>
    <font>
      <b/>
      <sz val="10"/>
      <name val="Arial"/>
      <family val="2"/>
    </font>
    <font>
      <b/>
      <sz val="12"/>
      <color rgb="FF00B050"/>
      <name val="Arial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b/>
      <sz val="10"/>
      <color indexed="48"/>
      <name val="Arial"/>
      <family val="2"/>
    </font>
    <font>
      <b/>
      <sz val="10"/>
      <color indexed="10"/>
      <name val="Arial"/>
      <family val="2"/>
    </font>
    <font>
      <b/>
      <u/>
      <sz val="12"/>
      <color indexed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4"/>
      <name val="Arial"/>
      <family val="2"/>
    </font>
    <font>
      <b/>
      <sz val="12"/>
      <color rgb="FFFF0000"/>
      <name val="Arial"/>
      <family val="2"/>
    </font>
    <font>
      <i/>
      <sz val="11"/>
      <color theme="1"/>
      <name val="Arial"/>
      <family val="2"/>
    </font>
    <font>
      <b/>
      <u/>
      <sz val="12"/>
      <color theme="1"/>
      <name val="Arial"/>
      <family val="2"/>
    </font>
    <font>
      <i/>
      <sz val="8"/>
      <color theme="1"/>
      <name val="Arial"/>
      <family val="2"/>
    </font>
    <font>
      <u/>
      <sz val="11"/>
      <color theme="1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b/>
      <strike/>
      <sz val="10"/>
      <name val="Arial"/>
      <family val="2"/>
    </font>
    <font>
      <b/>
      <strike/>
      <sz val="14"/>
      <color rgb="FFFF0000"/>
      <name val="Arial"/>
      <family val="2"/>
    </font>
    <font>
      <strike/>
      <sz val="1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50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</cellStyleXfs>
  <cellXfs count="120">
    <xf numFmtId="0" fontId="0" fillId="0" borderId="0" xfId="0"/>
    <xf numFmtId="0" fontId="19" fillId="0" borderId="0" xfId="0" applyFont="1" applyAlignment="1" applyProtection="1">
      <alignment horizontal="center" vertical="center"/>
      <protection locked="0"/>
    </xf>
    <xf numFmtId="0" fontId="20" fillId="0" borderId="0" xfId="0" applyFont="1" applyProtection="1">
      <protection locked="0"/>
    </xf>
    <xf numFmtId="15" fontId="22" fillId="0" borderId="0" xfId="0" applyNumberFormat="1" applyFont="1" applyAlignment="1" applyProtection="1">
      <alignment horizontal="left"/>
      <protection locked="0"/>
    </xf>
    <xf numFmtId="0" fontId="20" fillId="33" borderId="1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/>
      <protection locked="0"/>
    </xf>
    <xf numFmtId="0" fontId="20" fillId="0" borderId="0" xfId="0" applyFont="1" applyAlignment="1" applyProtection="1">
      <alignment horizontal="center"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0" fontId="24" fillId="0" borderId="0" xfId="0" applyFont="1"/>
    <xf numFmtId="0" fontId="22" fillId="0" borderId="0" xfId="0" applyFont="1" applyAlignment="1">
      <alignment horizontal="left"/>
    </xf>
    <xf numFmtId="0" fontId="22" fillId="0" borderId="0" xfId="0" applyFont="1"/>
    <xf numFmtId="0" fontId="25" fillId="0" borderId="0" xfId="0" applyFont="1"/>
    <xf numFmtId="0" fontId="25" fillId="0" borderId="0" xfId="0" applyFont="1" applyProtection="1">
      <protection locked="0"/>
    </xf>
    <xf numFmtId="0" fontId="26" fillId="0" borderId="0" xfId="0" applyFont="1"/>
    <xf numFmtId="164" fontId="22" fillId="0" borderId="0" xfId="0" applyNumberFormat="1" applyFont="1" applyAlignment="1">
      <alignment horizontal="left"/>
    </xf>
    <xf numFmtId="0" fontId="27" fillId="34" borderId="11" xfId="0" applyFont="1" applyFill="1" applyBorder="1"/>
    <xf numFmtId="10" fontId="0" fillId="0" borderId="0" xfId="0" applyNumberFormat="1" applyProtection="1">
      <protection locked="0"/>
    </xf>
    <xf numFmtId="0" fontId="27" fillId="34" borderId="14" xfId="0" applyFont="1" applyFill="1" applyBorder="1"/>
    <xf numFmtId="0" fontId="22" fillId="0" borderId="14" xfId="0" applyFont="1" applyBorder="1" applyAlignment="1">
      <alignment horizontal="center"/>
    </xf>
    <xf numFmtId="0" fontId="23" fillId="34" borderId="20" xfId="0" applyFont="1" applyFill="1" applyBorder="1" applyAlignment="1">
      <alignment horizontal="right"/>
    </xf>
    <xf numFmtId="0" fontId="23" fillId="34" borderId="21" xfId="0" applyFont="1" applyFill="1" applyBorder="1" applyAlignment="1">
      <alignment horizontal="right"/>
    </xf>
    <xf numFmtId="0" fontId="23" fillId="0" borderId="21" xfId="0" applyFont="1" applyBorder="1" applyAlignment="1">
      <alignment horizontal="center"/>
    </xf>
    <xf numFmtId="0" fontId="23" fillId="34" borderId="22" xfId="0" applyFont="1" applyFill="1" applyBorder="1" applyAlignment="1">
      <alignment horizontal="right"/>
    </xf>
    <xf numFmtId="0" fontId="23" fillId="34" borderId="18" xfId="0" applyFont="1" applyFill="1" applyBorder="1" applyAlignment="1">
      <alignment horizontal="right"/>
    </xf>
    <xf numFmtId="0" fontId="23" fillId="0" borderId="18" xfId="0" applyFont="1" applyBorder="1" applyAlignment="1">
      <alignment horizontal="center"/>
    </xf>
    <xf numFmtId="0" fontId="27" fillId="34" borderId="25" xfId="0" applyFont="1" applyFill="1" applyBorder="1" applyAlignment="1">
      <alignment horizontal="left"/>
    </xf>
    <xf numFmtId="0" fontId="0" fillId="0" borderId="26" xfId="0" applyBorder="1" applyAlignment="1">
      <alignment horizontal="center"/>
    </xf>
    <xf numFmtId="164" fontId="27" fillId="0" borderId="26" xfId="0" applyNumberFormat="1" applyFont="1" applyBorder="1" applyAlignment="1">
      <alignment horizontal="center"/>
    </xf>
    <xf numFmtId="164" fontId="20" fillId="0" borderId="0" xfId="0" applyNumberFormat="1" applyFont="1" applyAlignment="1">
      <alignment horizontal="left"/>
    </xf>
    <xf numFmtId="11" fontId="20" fillId="0" borderId="0" xfId="0" applyNumberFormat="1" applyFont="1" applyAlignment="1">
      <alignment horizontal="left"/>
    </xf>
    <xf numFmtId="11" fontId="20" fillId="0" borderId="0" xfId="0" applyNumberFormat="1" applyFont="1" applyAlignment="1">
      <alignment horizontal="center"/>
    </xf>
    <xf numFmtId="165" fontId="20" fillId="0" borderId="0" xfId="0" applyNumberFormat="1" applyFont="1" applyAlignment="1">
      <alignment horizontal="left"/>
    </xf>
    <xf numFmtId="10" fontId="28" fillId="0" borderId="0" xfId="0" applyNumberFormat="1" applyFont="1"/>
    <xf numFmtId="166" fontId="20" fillId="0" borderId="0" xfId="0" applyNumberFormat="1" applyFont="1" applyAlignment="1">
      <alignment horizontal="right"/>
    </xf>
    <xf numFmtId="0" fontId="30" fillId="0" borderId="0" xfId="0" applyFont="1"/>
    <xf numFmtId="166" fontId="31" fillId="0" borderId="0" xfId="0" applyNumberFormat="1" applyFont="1" applyAlignment="1">
      <alignment horizontal="left"/>
    </xf>
    <xf numFmtId="166" fontId="20" fillId="0" borderId="27" xfId="0" applyNumberFormat="1" applyFont="1" applyBorder="1" applyAlignment="1">
      <alignment horizontal="center" wrapText="1"/>
    </xf>
    <xf numFmtId="0" fontId="0" fillId="0" borderId="0" xfId="0" applyAlignment="1">
      <alignment vertical="center"/>
    </xf>
    <xf numFmtId="0" fontId="23" fillId="0" borderId="0" xfId="0" applyFont="1" applyAlignment="1">
      <alignment horizontal="center" vertical="center"/>
    </xf>
    <xf numFmtId="0" fontId="33" fillId="0" borderId="11" xfId="0" applyFont="1" applyBorder="1"/>
    <xf numFmtId="0" fontId="34" fillId="0" borderId="19" xfId="0" applyFont="1" applyBorder="1"/>
    <xf numFmtId="0" fontId="35" fillId="0" borderId="19" xfId="0" applyFont="1" applyBorder="1"/>
    <xf numFmtId="0" fontId="23" fillId="0" borderId="19" xfId="0" applyFont="1" applyBorder="1"/>
    <xf numFmtId="0" fontId="23" fillId="0" borderId="13" xfId="0" applyFont="1" applyBorder="1"/>
    <xf numFmtId="0" fontId="36" fillId="0" borderId="15" xfId="0" applyFont="1" applyBorder="1"/>
    <xf numFmtId="0" fontId="23" fillId="0" borderId="28" xfId="0" applyFont="1" applyBorder="1"/>
    <xf numFmtId="0" fontId="23" fillId="0" borderId="17" xfId="0" applyFont="1" applyBorder="1"/>
    <xf numFmtId="0" fontId="38" fillId="0" borderId="0" xfId="0" applyFont="1"/>
    <xf numFmtId="0" fontId="39" fillId="0" borderId="0" xfId="0" applyFont="1"/>
    <xf numFmtId="0" fontId="40" fillId="0" borderId="0" xfId="0" applyFont="1"/>
    <xf numFmtId="0" fontId="41" fillId="0" borderId="0" xfId="0" applyFont="1"/>
    <xf numFmtId="1" fontId="41" fillId="0" borderId="0" xfId="0" applyNumberFormat="1" applyFont="1"/>
    <xf numFmtId="0" fontId="42" fillId="0" borderId="0" xfId="0" applyFont="1"/>
    <xf numFmtId="165" fontId="30" fillId="0" borderId="0" xfId="0" applyNumberFormat="1" applyFont="1"/>
    <xf numFmtId="166" fontId="30" fillId="0" borderId="0" xfId="0" applyNumberFormat="1" applyFont="1"/>
    <xf numFmtId="166" fontId="41" fillId="0" borderId="0" xfId="0" applyNumberFormat="1" applyFont="1"/>
    <xf numFmtId="0" fontId="33" fillId="0" borderId="0" xfId="0" applyFont="1"/>
    <xf numFmtId="168" fontId="30" fillId="0" borderId="0" xfId="0" applyNumberFormat="1" applyFont="1" applyAlignment="1">
      <alignment horizontal="right"/>
    </xf>
    <xf numFmtId="0" fontId="33" fillId="0" borderId="29" xfId="0" applyFont="1" applyBorder="1" applyAlignment="1">
      <alignment vertical="center"/>
    </xf>
    <xf numFmtId="0" fontId="41" fillId="0" borderId="30" xfId="0" applyFont="1" applyBorder="1"/>
    <xf numFmtId="0" fontId="0" fillId="0" borderId="0" xfId="0"/>
    <xf numFmtId="0" fontId="20" fillId="0" borderId="0" xfId="0" applyFont="1" applyAlignment="1">
      <alignment horizontal="left" vertical="center"/>
    </xf>
    <xf numFmtId="0" fontId="20" fillId="0" borderId="0" xfId="0" applyFont="1"/>
    <xf numFmtId="0" fontId="0" fillId="0" borderId="0" xfId="0" applyProtection="1">
      <protection locked="0"/>
    </xf>
    <xf numFmtId="0" fontId="23" fillId="0" borderId="0" xfId="0" applyFont="1"/>
    <xf numFmtId="0" fontId="32" fillId="0" borderId="0" xfId="0" applyFont="1" applyAlignment="1">
      <alignment horizontal="center" vertical="center"/>
    </xf>
    <xf numFmtId="164" fontId="27" fillId="0" borderId="32" xfId="0" applyNumberFormat="1" applyFont="1" applyBorder="1" applyAlignment="1">
      <alignment horizontal="center"/>
    </xf>
    <xf numFmtId="10" fontId="0" fillId="0" borderId="21" xfId="0" applyNumberFormat="1" applyBorder="1" applyAlignment="1">
      <alignment horizontal="center" vertical="center"/>
    </xf>
    <xf numFmtId="10" fontId="16" fillId="0" borderId="21" xfId="0" applyNumberFormat="1" applyFont="1" applyBorder="1" applyAlignment="1">
      <alignment horizontal="center" vertical="center"/>
    </xf>
    <xf numFmtId="10" fontId="20" fillId="0" borderId="14" xfId="0" applyNumberFormat="1" applyFont="1" applyBorder="1" applyAlignment="1">
      <alignment horizontal="center"/>
    </xf>
    <xf numFmtId="10" fontId="23" fillId="0" borderId="21" xfId="0" applyNumberFormat="1" applyFont="1" applyBorder="1" applyAlignment="1">
      <alignment horizontal="center"/>
    </xf>
    <xf numFmtId="10" fontId="23" fillId="0" borderId="18" xfId="0" applyNumberFormat="1" applyFont="1" applyBorder="1" applyAlignment="1">
      <alignment horizontal="center"/>
    </xf>
    <xf numFmtId="10" fontId="20" fillId="0" borderId="19" xfId="0" applyNumberFormat="1" applyFont="1" applyBorder="1" applyAlignment="1">
      <alignment horizontal="center"/>
    </xf>
    <xf numFmtId="10" fontId="23" fillId="0" borderId="0" xfId="0" applyNumberFormat="1" applyFont="1" applyAlignment="1">
      <alignment horizontal="center"/>
    </xf>
    <xf numFmtId="10" fontId="23" fillId="0" borderId="23" xfId="0" applyNumberFormat="1" applyFont="1" applyBorder="1" applyAlignment="1">
      <alignment horizontal="center"/>
    </xf>
    <xf numFmtId="10" fontId="26" fillId="0" borderId="26" xfId="0" applyNumberFormat="1" applyFont="1" applyBorder="1" applyAlignment="1">
      <alignment horizontal="center"/>
    </xf>
    <xf numFmtId="167" fontId="0" fillId="33" borderId="10" xfId="0" applyNumberFormat="1" applyFont="1" applyFill="1" applyBorder="1" applyAlignment="1" applyProtection="1">
      <alignment horizontal="center"/>
      <protection locked="0"/>
    </xf>
    <xf numFmtId="1" fontId="24" fillId="0" borderId="0" xfId="0" applyNumberFormat="1" applyFont="1"/>
    <xf numFmtId="0" fontId="46" fillId="0" borderId="0" xfId="0" applyFont="1" applyFill="1" applyBorder="1" applyAlignment="1" applyProtection="1">
      <alignment horizontal="center" vertical="center"/>
      <protection locked="0"/>
    </xf>
    <xf numFmtId="0" fontId="47" fillId="0" borderId="0" xfId="0" applyFont="1" applyFill="1" applyBorder="1" applyAlignment="1" applyProtection="1">
      <alignment horizontal="center" vertical="center"/>
      <protection locked="0"/>
    </xf>
    <xf numFmtId="0" fontId="46" fillId="0" borderId="0" xfId="0" applyFont="1" applyFill="1" applyBorder="1" applyAlignment="1" applyProtection="1">
      <alignment horizontal="center" vertical="center" wrapText="1"/>
      <protection locked="0"/>
    </xf>
    <xf numFmtId="0" fontId="48" fillId="0" borderId="0" xfId="0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Protection="1">
      <protection locked="0"/>
    </xf>
    <xf numFmtId="10" fontId="20" fillId="0" borderId="14" xfId="0" applyNumberFormat="1" applyFont="1" applyFill="1" applyBorder="1" applyAlignment="1">
      <alignment horizontal="center" vertical="center"/>
    </xf>
    <xf numFmtId="10" fontId="0" fillId="0" borderId="18" xfId="0" applyNumberFormat="1" applyBorder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2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29" fillId="0" borderId="0" xfId="0" applyFont="1"/>
    <xf numFmtId="0" fontId="20" fillId="0" borderId="0" xfId="0" applyFont="1" applyAlignment="1">
      <alignment horizontal="center"/>
    </xf>
    <xf numFmtId="0" fontId="20" fillId="0" borderId="0" xfId="0" applyFont="1"/>
    <xf numFmtId="0" fontId="20" fillId="0" borderId="0" xfId="0" applyFont="1" applyAlignment="1">
      <alignment horizontal="right" vertical="center"/>
    </xf>
    <xf numFmtId="166" fontId="0" fillId="0" borderId="14" xfId="0" applyNumberFormat="1" applyBorder="1" applyAlignment="1">
      <alignment horizontal="center" vertical="center"/>
    </xf>
    <xf numFmtId="166" fontId="0" fillId="0" borderId="21" xfId="0" applyNumberFormat="1" applyBorder="1" applyAlignment="1">
      <alignment horizontal="center" vertical="center"/>
    </xf>
    <xf numFmtId="166" fontId="0" fillId="0" borderId="18" xfId="0" applyNumberFormat="1" applyBorder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3" fillId="0" borderId="0" xfId="0" applyFont="1"/>
    <xf numFmtId="0" fontId="20" fillId="0" borderId="11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0" fillId="0" borderId="12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34" borderId="13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2" fontId="20" fillId="34" borderId="14" xfId="0" applyNumberFormat="1" applyFont="1" applyFill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2" fontId="0" fillId="0" borderId="24" xfId="0" applyNumberFormat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3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7" fillId="0" borderId="0" xfId="0" applyFont="1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33" fillId="0" borderId="30" xfId="0" applyFont="1" applyBorder="1" applyAlignment="1">
      <alignment horizontal="right" vertical="center"/>
    </xf>
    <xf numFmtId="0" fontId="41" fillId="0" borderId="31" xfId="0" applyFont="1" applyBorder="1"/>
  </cellXfs>
  <cellStyles count="50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1 2" xfId="44"/>
    <cellStyle name="60 % - Accent2" xfId="25" builtinId="36" customBuiltin="1"/>
    <cellStyle name="60 % - Accent2 2" xfId="45"/>
    <cellStyle name="60 % - Accent3" xfId="29" builtinId="40" customBuiltin="1"/>
    <cellStyle name="60 % - Accent3 2" xfId="46"/>
    <cellStyle name="60 % - Accent4" xfId="33" builtinId="44" customBuiltin="1"/>
    <cellStyle name="60 % - Accent4 2" xfId="47"/>
    <cellStyle name="60 % - Accent5" xfId="37" builtinId="48" customBuiltin="1"/>
    <cellStyle name="60 % - Accent5 2" xfId="48"/>
    <cellStyle name="60 % - Accent6" xfId="41" builtinId="52" customBuiltin="1"/>
    <cellStyle name="60 % - Accent6 2" xfId="49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eutre 2" xfId="43"/>
    <cellStyle name="Normal" xfId="0" builtinId="0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 2" xfId="42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6">
    <dxf>
      <font>
        <condense val="0"/>
        <extend val="0"/>
        <color indexed="10"/>
      </font>
    </dxf>
    <dxf>
      <font>
        <condense val="0"/>
        <extend val="0"/>
        <color indexed="57"/>
      </font>
    </dxf>
    <dxf>
      <font>
        <color theme="5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rgb="FFC6EFCE"/>
        </patternFill>
      </fill>
    </dxf>
    <dxf>
      <font>
        <color theme="5"/>
      </font>
      <fill>
        <patternFill>
          <bgColor rgb="FFFFC7CE"/>
        </patternFill>
      </fill>
    </dxf>
    <dxf>
      <font>
        <color theme="6" tint="-0.499984740745262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pie%20de%20CYTHEM-MM-Masque%20de%20Calcul%20de%20la%20MRD%20NAVIOS%20FV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 brutes csv"/>
      <sheetName val="Résultats"/>
      <sheetName val="MRD MM Compte rendu"/>
      <sheetName val="Tableau"/>
    </sheetNames>
    <sheetDataSet>
      <sheetData sheetId="0"/>
      <sheetData sheetId="1">
        <row r="3">
          <cell r="B3">
            <v>0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2"/>
  <sheetViews>
    <sheetView workbookViewId="0">
      <selection activeCell="H30" sqref="H30"/>
    </sheetView>
  </sheetViews>
  <sheetFormatPr baseColWidth="10" defaultColWidth="11.42578125" defaultRowHeight="15" x14ac:dyDescent="0.25"/>
  <cols>
    <col min="1" max="16384" width="11.42578125" style="60"/>
  </cols>
  <sheetData>
    <row r="1" spans="1:33" x14ac:dyDescent="0.25">
      <c r="A1" s="60" t="s">
        <v>94</v>
      </c>
      <c r="B1" s="60" t="s">
        <v>95</v>
      </c>
      <c r="C1" s="60" t="s">
        <v>96</v>
      </c>
      <c r="D1" s="60" t="s">
        <v>97</v>
      </c>
      <c r="E1" s="60" t="s">
        <v>0</v>
      </c>
      <c r="F1" s="60" t="s">
        <v>1</v>
      </c>
      <c r="G1" s="60" t="s">
        <v>2</v>
      </c>
      <c r="H1" s="60" t="s">
        <v>3</v>
      </c>
      <c r="I1" s="60" t="s">
        <v>4</v>
      </c>
      <c r="J1" s="60" t="s">
        <v>5</v>
      </c>
      <c r="K1" s="60" t="s">
        <v>6</v>
      </c>
      <c r="L1" s="60" t="s">
        <v>68</v>
      </c>
      <c r="M1" s="60" t="s">
        <v>69</v>
      </c>
      <c r="N1" s="60" t="s">
        <v>70</v>
      </c>
      <c r="O1" s="60" t="s">
        <v>71</v>
      </c>
      <c r="P1" s="60" t="s">
        <v>72</v>
      </c>
      <c r="Q1" s="60" t="s">
        <v>73</v>
      </c>
      <c r="R1" s="60" t="s">
        <v>74</v>
      </c>
      <c r="S1" s="60" t="s">
        <v>75</v>
      </c>
      <c r="T1" s="60" t="s">
        <v>76</v>
      </c>
      <c r="U1" s="60" t="s">
        <v>77</v>
      </c>
      <c r="V1" s="60" t="s">
        <v>78</v>
      </c>
      <c r="W1" s="60" t="s">
        <v>79</v>
      </c>
      <c r="X1" s="60" t="s">
        <v>80</v>
      </c>
      <c r="Y1" s="60" t="s">
        <v>81</v>
      </c>
      <c r="Z1" s="60" t="s">
        <v>82</v>
      </c>
      <c r="AA1" s="60" t="s">
        <v>83</v>
      </c>
      <c r="AB1" s="60" t="s">
        <v>84</v>
      </c>
      <c r="AC1" s="60" t="s">
        <v>85</v>
      </c>
      <c r="AD1" s="60" t="s">
        <v>86</v>
      </c>
      <c r="AE1" s="60" t="s">
        <v>87</v>
      </c>
      <c r="AF1" s="60" t="s">
        <v>88</v>
      </c>
      <c r="AG1" s="60" t="s">
        <v>89</v>
      </c>
    </row>
    <row r="2" spans="1:33" ht="14.65" x14ac:dyDescent="0.4">
      <c r="A2" s="60" t="s">
        <v>98</v>
      </c>
      <c r="B2" s="60" t="s">
        <v>99</v>
      </c>
      <c r="C2" s="60" t="s">
        <v>100</v>
      </c>
      <c r="D2" s="60" t="s">
        <v>101</v>
      </c>
      <c r="E2" s="60" t="s">
        <v>90</v>
      </c>
      <c r="F2" s="60" t="s">
        <v>91</v>
      </c>
      <c r="G2" s="60" t="s">
        <v>7</v>
      </c>
    </row>
    <row r="3" spans="1:33" ht="14.65" x14ac:dyDescent="0.4">
      <c r="A3" s="60" t="s">
        <v>98</v>
      </c>
      <c r="B3" s="60" t="s">
        <v>99</v>
      </c>
      <c r="C3" s="60" t="s">
        <v>100</v>
      </c>
      <c r="D3" s="60" t="s">
        <v>101</v>
      </c>
      <c r="E3" s="60" t="s">
        <v>90</v>
      </c>
      <c r="F3" s="60" t="s">
        <v>91</v>
      </c>
      <c r="G3" s="60" t="s">
        <v>8</v>
      </c>
    </row>
    <row r="4" spans="1:33" ht="14.65" x14ac:dyDescent="0.4">
      <c r="A4" s="60" t="s">
        <v>98</v>
      </c>
      <c r="B4" s="60" t="s">
        <v>99</v>
      </c>
      <c r="C4" s="60" t="s">
        <v>100</v>
      </c>
      <c r="D4" s="60" t="s">
        <v>102</v>
      </c>
      <c r="E4" s="60" t="str">
        <f>"38"</f>
        <v>38</v>
      </c>
      <c r="F4" s="60" t="str">
        <f>"138"</f>
        <v>138</v>
      </c>
      <c r="G4" s="60" t="s">
        <v>7</v>
      </c>
      <c r="H4" s="60">
        <v>804098</v>
      </c>
    </row>
    <row r="5" spans="1:33" ht="14.65" x14ac:dyDescent="0.4">
      <c r="A5" s="60" t="s">
        <v>98</v>
      </c>
      <c r="B5" s="60" t="s">
        <v>99</v>
      </c>
      <c r="C5" s="60" t="s">
        <v>100</v>
      </c>
      <c r="D5" s="60" t="s">
        <v>102</v>
      </c>
      <c r="E5" s="60" t="str">
        <f>"38"</f>
        <v>38</v>
      </c>
      <c r="F5" s="60" t="str">
        <f>"138"</f>
        <v>138</v>
      </c>
      <c r="G5" s="60" t="s">
        <v>67</v>
      </c>
    </row>
    <row r="6" spans="1:33" ht="14.65" x14ac:dyDescent="0.4">
      <c r="A6" s="60" t="s">
        <v>98</v>
      </c>
      <c r="B6" s="60" t="s">
        <v>99</v>
      </c>
      <c r="C6" s="60" t="s">
        <v>100</v>
      </c>
      <c r="D6" s="60" t="s">
        <v>103</v>
      </c>
      <c r="E6" s="60" t="str">
        <f>"38"</f>
        <v>38</v>
      </c>
      <c r="F6" s="60" t="s">
        <v>91</v>
      </c>
      <c r="G6" s="60" t="s">
        <v>7</v>
      </c>
      <c r="I6" s="60">
        <v>0.96</v>
      </c>
      <c r="J6" s="60">
        <v>100</v>
      </c>
    </row>
    <row r="7" spans="1:33" ht="14.65" x14ac:dyDescent="0.4">
      <c r="A7" s="60" t="s">
        <v>98</v>
      </c>
      <c r="B7" s="60" t="s">
        <v>99</v>
      </c>
      <c r="C7" s="60" t="s">
        <v>100</v>
      </c>
      <c r="D7" s="60" t="s">
        <v>103</v>
      </c>
      <c r="E7" s="60" t="str">
        <f>"38"</f>
        <v>38</v>
      </c>
      <c r="F7" s="60" t="s">
        <v>91</v>
      </c>
      <c r="G7" s="60" t="s">
        <v>9</v>
      </c>
      <c r="H7" s="60">
        <v>55151</v>
      </c>
      <c r="I7" s="60">
        <v>0.23</v>
      </c>
      <c r="J7" s="60">
        <v>24.1</v>
      </c>
    </row>
    <row r="8" spans="1:33" ht="14.65" x14ac:dyDescent="0.4">
      <c r="A8" s="60" t="s">
        <v>98</v>
      </c>
      <c r="B8" s="60" t="s">
        <v>99</v>
      </c>
      <c r="C8" s="60" t="s">
        <v>100</v>
      </c>
      <c r="D8" s="60" t="s">
        <v>104</v>
      </c>
      <c r="E8" s="60" t="str">
        <f>"56"</f>
        <v>56</v>
      </c>
      <c r="F8" s="60" t="str">
        <f>"19"</f>
        <v>19</v>
      </c>
      <c r="G8" s="60" t="s">
        <v>7</v>
      </c>
    </row>
    <row r="9" spans="1:33" ht="14.65" x14ac:dyDescent="0.4">
      <c r="A9" s="60" t="s">
        <v>98</v>
      </c>
      <c r="B9" s="60" t="s">
        <v>99</v>
      </c>
      <c r="C9" s="60" t="s">
        <v>100</v>
      </c>
      <c r="D9" s="60" t="s">
        <v>104</v>
      </c>
      <c r="E9" s="60" t="str">
        <f>"56"</f>
        <v>56</v>
      </c>
      <c r="F9" s="60" t="str">
        <f>"19"</f>
        <v>19</v>
      </c>
      <c r="G9" s="60" t="s">
        <v>54</v>
      </c>
      <c r="H9" s="60">
        <v>53539</v>
      </c>
    </row>
    <row r="10" spans="1:33" ht="14.65" x14ac:dyDescent="0.4">
      <c r="A10" s="60" t="s">
        <v>98</v>
      </c>
      <c r="B10" s="60" t="s">
        <v>99</v>
      </c>
      <c r="C10" s="60" t="s">
        <v>100</v>
      </c>
      <c r="D10" s="60" t="s">
        <v>104</v>
      </c>
      <c r="E10" s="60" t="str">
        <f>"56"</f>
        <v>56</v>
      </c>
      <c r="F10" s="60" t="str">
        <f>"19"</f>
        <v>19</v>
      </c>
      <c r="G10" s="60" t="s">
        <v>55</v>
      </c>
      <c r="H10" s="60">
        <v>309</v>
      </c>
    </row>
    <row r="11" spans="1:33" ht="14.65" x14ac:dyDescent="0.4">
      <c r="A11" s="60" t="s">
        <v>98</v>
      </c>
      <c r="B11" s="60" t="s">
        <v>99</v>
      </c>
      <c r="C11" s="60" t="s">
        <v>100</v>
      </c>
      <c r="D11" s="60" t="s">
        <v>104</v>
      </c>
      <c r="E11" s="60" t="str">
        <f>"56"</f>
        <v>56</v>
      </c>
      <c r="F11" s="60" t="str">
        <f>"19"</f>
        <v>19</v>
      </c>
      <c r="G11" s="60" t="s">
        <v>56</v>
      </c>
      <c r="H11" s="60">
        <v>898</v>
      </c>
    </row>
    <row r="12" spans="1:33" ht="14.65" x14ac:dyDescent="0.4">
      <c r="A12" s="60" t="s">
        <v>98</v>
      </c>
      <c r="B12" s="60" t="s">
        <v>99</v>
      </c>
      <c r="C12" s="60" t="s">
        <v>100</v>
      </c>
      <c r="D12" s="60" t="s">
        <v>104</v>
      </c>
      <c r="E12" s="60" t="str">
        <f>"56"</f>
        <v>56</v>
      </c>
      <c r="F12" s="60" t="str">
        <f>"19"</f>
        <v>19</v>
      </c>
      <c r="G12" s="60" t="s">
        <v>57</v>
      </c>
      <c r="H12" s="60">
        <v>444</v>
      </c>
    </row>
    <row r="13" spans="1:33" ht="14.65" x14ac:dyDescent="0.4">
      <c r="A13" s="60" t="s">
        <v>98</v>
      </c>
      <c r="B13" s="60" t="s">
        <v>99</v>
      </c>
      <c r="C13" s="60" t="s">
        <v>100</v>
      </c>
      <c r="D13" s="60" t="s">
        <v>105</v>
      </c>
      <c r="E13" s="60" t="s">
        <v>92</v>
      </c>
      <c r="F13" s="60" t="s">
        <v>93</v>
      </c>
      <c r="G13" s="60" t="s">
        <v>7</v>
      </c>
      <c r="I13" s="60">
        <v>0.02</v>
      </c>
      <c r="J13" s="60">
        <v>100</v>
      </c>
    </row>
    <row r="14" spans="1:33" ht="14.65" x14ac:dyDescent="0.4">
      <c r="A14" s="60" t="s">
        <v>98</v>
      </c>
      <c r="B14" s="60" t="s">
        <v>99</v>
      </c>
      <c r="C14" s="60" t="s">
        <v>100</v>
      </c>
      <c r="D14" s="60" t="s">
        <v>105</v>
      </c>
      <c r="E14" s="60" t="s">
        <v>92</v>
      </c>
      <c r="F14" s="60" t="s">
        <v>93</v>
      </c>
      <c r="G14" s="60" t="s">
        <v>10</v>
      </c>
      <c r="H14" s="60">
        <v>305</v>
      </c>
      <c r="I14" s="60">
        <v>0.01</v>
      </c>
      <c r="J14" s="60">
        <v>33.01</v>
      </c>
    </row>
    <row r="15" spans="1:33" ht="14.65" x14ac:dyDescent="0.4">
      <c r="A15" s="60" t="s">
        <v>98</v>
      </c>
      <c r="B15" s="60" t="s">
        <v>99</v>
      </c>
      <c r="C15" s="60" t="s">
        <v>100</v>
      </c>
      <c r="D15" s="60" t="s">
        <v>105</v>
      </c>
      <c r="E15" s="60" t="s">
        <v>92</v>
      </c>
      <c r="F15" s="60" t="s">
        <v>93</v>
      </c>
      <c r="G15" s="60" t="s">
        <v>11</v>
      </c>
      <c r="H15" s="60">
        <v>580</v>
      </c>
      <c r="I15" s="60">
        <v>0</v>
      </c>
      <c r="J15" s="60">
        <v>17.11</v>
      </c>
    </row>
    <row r="16" spans="1:33" ht="14.65" x14ac:dyDescent="0.4">
      <c r="A16" s="60" t="s">
        <v>98</v>
      </c>
      <c r="B16" s="60" t="s">
        <v>99</v>
      </c>
      <c r="C16" s="60" t="s">
        <v>100</v>
      </c>
      <c r="D16" s="60" t="s">
        <v>105</v>
      </c>
      <c r="E16" s="60" t="s">
        <v>92</v>
      </c>
      <c r="F16" s="60" t="s">
        <v>93</v>
      </c>
      <c r="G16" s="60" t="s">
        <v>12</v>
      </c>
      <c r="I16" s="60">
        <v>0</v>
      </c>
      <c r="J16" s="60">
        <v>0</v>
      </c>
    </row>
    <row r="17" spans="1:10" ht="14.65" x14ac:dyDescent="0.4">
      <c r="A17" s="60" t="s">
        <v>98</v>
      </c>
      <c r="B17" s="60" t="s">
        <v>99</v>
      </c>
      <c r="C17" s="60" t="s">
        <v>100</v>
      </c>
      <c r="D17" s="60" t="s">
        <v>105</v>
      </c>
      <c r="E17" s="60" t="s">
        <v>92</v>
      </c>
      <c r="F17" s="60" t="s">
        <v>93</v>
      </c>
      <c r="G17" s="60" t="s">
        <v>13</v>
      </c>
      <c r="I17" s="60">
        <v>0.01</v>
      </c>
      <c r="J17" s="60">
        <v>49.88</v>
      </c>
    </row>
    <row r="18" spans="1:10" ht="14.65" x14ac:dyDescent="0.4">
      <c r="A18" s="60" t="s">
        <v>98</v>
      </c>
      <c r="B18" s="60" t="s">
        <v>99</v>
      </c>
      <c r="C18" s="60" t="s">
        <v>100</v>
      </c>
      <c r="D18" s="60" t="s">
        <v>106</v>
      </c>
      <c r="E18" s="60" t="s">
        <v>92</v>
      </c>
      <c r="F18" s="60" t="s">
        <v>93</v>
      </c>
      <c r="G18" s="60" t="s">
        <v>7</v>
      </c>
      <c r="I18" s="60">
        <v>0.01</v>
      </c>
      <c r="J18" s="60">
        <v>100</v>
      </c>
    </row>
    <row r="19" spans="1:10" ht="14.65" x14ac:dyDescent="0.4">
      <c r="A19" s="60" t="s">
        <v>98</v>
      </c>
      <c r="B19" s="60" t="s">
        <v>99</v>
      </c>
      <c r="C19" s="60" t="s">
        <v>100</v>
      </c>
      <c r="D19" s="60" t="s">
        <v>106</v>
      </c>
      <c r="E19" s="60" t="s">
        <v>92</v>
      </c>
      <c r="F19" s="60" t="s">
        <v>93</v>
      </c>
      <c r="G19" s="60" t="s">
        <v>14</v>
      </c>
      <c r="H19" s="60">
        <v>12</v>
      </c>
      <c r="I19" s="60">
        <v>0</v>
      </c>
      <c r="J19" s="60">
        <v>2.93</v>
      </c>
    </row>
    <row r="20" spans="1:10" ht="14.65" x14ac:dyDescent="0.4">
      <c r="A20" s="60" t="s">
        <v>98</v>
      </c>
      <c r="B20" s="60" t="s">
        <v>99</v>
      </c>
      <c r="C20" s="60" t="s">
        <v>100</v>
      </c>
      <c r="D20" s="60" t="s">
        <v>106</v>
      </c>
      <c r="E20" s="60" t="s">
        <v>92</v>
      </c>
      <c r="F20" s="60" t="s">
        <v>93</v>
      </c>
      <c r="G20" s="60" t="s">
        <v>15</v>
      </c>
      <c r="H20" s="60">
        <v>74</v>
      </c>
      <c r="I20" s="60">
        <v>0</v>
      </c>
      <c r="J20" s="60">
        <v>3.9</v>
      </c>
    </row>
    <row r="21" spans="1:10" ht="14.65" x14ac:dyDescent="0.4">
      <c r="A21" s="60" t="s">
        <v>98</v>
      </c>
      <c r="B21" s="60" t="s">
        <v>99</v>
      </c>
      <c r="C21" s="60" t="s">
        <v>100</v>
      </c>
      <c r="D21" s="60" t="s">
        <v>106</v>
      </c>
      <c r="E21" s="60" t="s">
        <v>92</v>
      </c>
      <c r="F21" s="60" t="s">
        <v>93</v>
      </c>
      <c r="G21" s="60" t="s">
        <v>16</v>
      </c>
      <c r="I21" s="60">
        <v>0.01</v>
      </c>
      <c r="J21" s="60">
        <v>81.95</v>
      </c>
    </row>
    <row r="22" spans="1:10" ht="14.65" x14ac:dyDescent="0.4">
      <c r="A22" s="60" t="s">
        <v>98</v>
      </c>
      <c r="B22" s="60" t="s">
        <v>99</v>
      </c>
      <c r="C22" s="60" t="s">
        <v>100</v>
      </c>
      <c r="D22" s="60" t="s">
        <v>106</v>
      </c>
      <c r="E22" s="60" t="s">
        <v>92</v>
      </c>
      <c r="F22" s="60" t="s">
        <v>93</v>
      </c>
      <c r="G22" s="60" t="s">
        <v>17</v>
      </c>
      <c r="I22" s="60">
        <v>0</v>
      </c>
      <c r="J22" s="60">
        <v>11.22</v>
      </c>
    </row>
    <row r="23" spans="1:10" ht="14.65" x14ac:dyDescent="0.4">
      <c r="A23" s="60" t="s">
        <v>98</v>
      </c>
      <c r="B23" s="60" t="s">
        <v>99</v>
      </c>
      <c r="C23" s="60" t="s">
        <v>100</v>
      </c>
      <c r="D23" s="60" t="s">
        <v>107</v>
      </c>
      <c r="E23" s="60" t="s">
        <v>92</v>
      </c>
      <c r="F23" s="60" t="s">
        <v>93</v>
      </c>
      <c r="G23" s="60" t="s">
        <v>7</v>
      </c>
      <c r="I23" s="60">
        <v>0.05</v>
      </c>
      <c r="J23" s="60">
        <v>100</v>
      </c>
    </row>
    <row r="24" spans="1:10" ht="14.65" x14ac:dyDescent="0.4">
      <c r="A24" s="60" t="s">
        <v>98</v>
      </c>
      <c r="B24" s="60" t="s">
        <v>99</v>
      </c>
      <c r="C24" s="60" t="s">
        <v>100</v>
      </c>
      <c r="D24" s="60" t="s">
        <v>107</v>
      </c>
      <c r="E24" s="60" t="s">
        <v>92</v>
      </c>
      <c r="F24" s="60" t="s">
        <v>93</v>
      </c>
      <c r="G24" s="60" t="s">
        <v>18</v>
      </c>
      <c r="H24" s="60">
        <v>6</v>
      </c>
      <c r="I24" s="60">
        <v>0</v>
      </c>
      <c r="J24" s="60">
        <v>3.38</v>
      </c>
    </row>
    <row r="25" spans="1:10" ht="14.65" x14ac:dyDescent="0.4">
      <c r="A25" s="60" t="s">
        <v>98</v>
      </c>
      <c r="B25" s="60" t="s">
        <v>99</v>
      </c>
      <c r="C25" s="60" t="s">
        <v>100</v>
      </c>
      <c r="D25" s="60" t="s">
        <v>107</v>
      </c>
      <c r="E25" s="60" t="s">
        <v>92</v>
      </c>
      <c r="F25" s="60" t="s">
        <v>93</v>
      </c>
      <c r="G25" s="60" t="s">
        <v>19</v>
      </c>
      <c r="H25" s="60">
        <v>138</v>
      </c>
      <c r="I25" s="60">
        <v>0.02</v>
      </c>
      <c r="J25" s="60">
        <v>37.450000000000003</v>
      </c>
    </row>
    <row r="26" spans="1:10" ht="14.65" x14ac:dyDescent="0.4">
      <c r="A26" s="60" t="s">
        <v>98</v>
      </c>
      <c r="B26" s="60" t="s">
        <v>99</v>
      </c>
      <c r="C26" s="60" t="s">
        <v>100</v>
      </c>
      <c r="D26" s="60" t="s">
        <v>107</v>
      </c>
      <c r="E26" s="60" t="s">
        <v>92</v>
      </c>
      <c r="F26" s="60" t="s">
        <v>93</v>
      </c>
      <c r="G26" s="60" t="s">
        <v>20</v>
      </c>
      <c r="I26" s="60">
        <v>0.02</v>
      </c>
      <c r="J26" s="60">
        <v>45.85</v>
      </c>
    </row>
    <row r="27" spans="1:10" ht="14.65" x14ac:dyDescent="0.4">
      <c r="A27" s="60" t="s">
        <v>98</v>
      </c>
      <c r="B27" s="60" t="s">
        <v>99</v>
      </c>
      <c r="C27" s="60" t="s">
        <v>100</v>
      </c>
      <c r="D27" s="60" t="s">
        <v>107</v>
      </c>
      <c r="E27" s="60" t="s">
        <v>92</v>
      </c>
      <c r="F27" s="60" t="s">
        <v>93</v>
      </c>
      <c r="G27" s="60" t="s">
        <v>21</v>
      </c>
      <c r="I27" s="60">
        <v>0.01</v>
      </c>
      <c r="J27" s="60">
        <v>13.32</v>
      </c>
    </row>
    <row r="28" spans="1:10" ht="14.65" x14ac:dyDescent="0.4">
      <c r="A28" s="60" t="s">
        <v>98</v>
      </c>
      <c r="B28" s="60" t="s">
        <v>99</v>
      </c>
      <c r="C28" s="60" t="s">
        <v>100</v>
      </c>
      <c r="D28" s="60" t="s">
        <v>108</v>
      </c>
      <c r="E28" s="60" t="s">
        <v>92</v>
      </c>
      <c r="F28" s="60" t="s">
        <v>93</v>
      </c>
      <c r="G28" s="60" t="s">
        <v>7</v>
      </c>
      <c r="I28" s="60">
        <v>0.16</v>
      </c>
      <c r="J28" s="60">
        <v>100</v>
      </c>
    </row>
    <row r="29" spans="1:10" ht="14.65" x14ac:dyDescent="0.4">
      <c r="A29" s="60" t="s">
        <v>98</v>
      </c>
      <c r="B29" s="60" t="s">
        <v>99</v>
      </c>
      <c r="C29" s="60" t="s">
        <v>100</v>
      </c>
      <c r="D29" s="60" t="s">
        <v>108</v>
      </c>
      <c r="E29" s="60" t="s">
        <v>92</v>
      </c>
      <c r="F29" s="60" t="s">
        <v>93</v>
      </c>
      <c r="G29" s="60" t="s">
        <v>22</v>
      </c>
      <c r="H29" s="60">
        <v>139</v>
      </c>
      <c r="I29" s="60">
        <v>0.01</v>
      </c>
      <c r="J29" s="60">
        <v>3.95</v>
      </c>
    </row>
    <row r="30" spans="1:10" ht="14.65" x14ac:dyDescent="0.4">
      <c r="A30" s="60" t="s">
        <v>98</v>
      </c>
      <c r="B30" s="60" t="s">
        <v>99</v>
      </c>
      <c r="C30" s="60" t="s">
        <v>100</v>
      </c>
      <c r="D30" s="60" t="s">
        <v>108</v>
      </c>
      <c r="E30" s="60" t="s">
        <v>92</v>
      </c>
      <c r="F30" s="60" t="s">
        <v>93</v>
      </c>
      <c r="G30" s="60" t="s">
        <v>23</v>
      </c>
      <c r="H30" s="60">
        <v>53030</v>
      </c>
      <c r="I30" s="60">
        <v>0</v>
      </c>
      <c r="J30" s="60">
        <v>3.05</v>
      </c>
    </row>
    <row r="31" spans="1:10" ht="14.65" x14ac:dyDescent="0.4">
      <c r="A31" s="60" t="s">
        <v>98</v>
      </c>
      <c r="B31" s="60" t="s">
        <v>99</v>
      </c>
      <c r="C31" s="60" t="s">
        <v>100</v>
      </c>
      <c r="D31" s="60" t="s">
        <v>108</v>
      </c>
      <c r="E31" s="60" t="s">
        <v>92</v>
      </c>
      <c r="F31" s="60" t="s">
        <v>93</v>
      </c>
      <c r="G31" s="60" t="s">
        <v>24</v>
      </c>
      <c r="I31" s="60">
        <v>0.12</v>
      </c>
      <c r="J31" s="60">
        <v>78.25</v>
      </c>
    </row>
    <row r="32" spans="1:10" ht="14.65" x14ac:dyDescent="0.4">
      <c r="A32" s="60" t="s">
        <v>98</v>
      </c>
      <c r="B32" s="60" t="s">
        <v>99</v>
      </c>
      <c r="C32" s="60" t="s">
        <v>100</v>
      </c>
      <c r="D32" s="60" t="s">
        <v>108</v>
      </c>
      <c r="E32" s="60" t="s">
        <v>92</v>
      </c>
      <c r="F32" s="60" t="s">
        <v>93</v>
      </c>
      <c r="G32" s="60" t="s">
        <v>25</v>
      </c>
      <c r="I32" s="60">
        <v>0.02</v>
      </c>
      <c r="J32" s="60">
        <v>14.75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2"/>
  <sheetViews>
    <sheetView topLeftCell="A13" zoomScale="69" zoomScaleNormal="155" workbookViewId="0">
      <selection activeCell="G22" sqref="G22:G24"/>
    </sheetView>
  </sheetViews>
  <sheetFormatPr baseColWidth="10" defaultRowHeight="15" x14ac:dyDescent="0.25"/>
  <cols>
    <col min="1" max="1" width="27.5703125" customWidth="1"/>
    <col min="2" max="2" width="12.7109375" customWidth="1"/>
    <col min="3" max="3" width="20.140625" customWidth="1"/>
    <col min="4" max="4" width="17.7109375" customWidth="1"/>
    <col min="5" max="5" width="19.140625" customWidth="1"/>
    <col min="6" max="6" width="20.5703125" customWidth="1"/>
    <col min="7" max="7" width="20.85546875" customWidth="1"/>
  </cols>
  <sheetData>
    <row r="1" spans="1:7" ht="18" x14ac:dyDescent="0.25">
      <c r="A1" s="97" t="s">
        <v>26</v>
      </c>
      <c r="B1" s="97"/>
      <c r="C1" s="97"/>
      <c r="D1" s="97"/>
      <c r="E1" s="97"/>
      <c r="F1" s="97"/>
      <c r="G1" s="97"/>
    </row>
    <row r="2" spans="1:7" ht="20.100000000000001" x14ac:dyDescent="0.4">
      <c r="A2" s="1"/>
      <c r="B2" s="1"/>
      <c r="C2" s="1"/>
      <c r="D2" s="1"/>
      <c r="E2" s="1"/>
      <c r="F2" s="1"/>
      <c r="G2" s="63"/>
    </row>
    <row r="3" spans="1:7" ht="15.4" x14ac:dyDescent="0.4">
      <c r="A3" s="2" t="s">
        <v>27</v>
      </c>
      <c r="B3" s="98">
        <f>'[1]Données brutes csv'!B3</f>
        <v>0</v>
      </c>
      <c r="C3" s="98"/>
      <c r="D3" s="98"/>
      <c r="E3" s="98"/>
      <c r="F3" s="98"/>
      <c r="G3" s="63"/>
    </row>
    <row r="4" spans="1:7" ht="14.65" x14ac:dyDescent="0.4">
      <c r="A4" s="63"/>
      <c r="B4" s="63"/>
      <c r="C4" s="63"/>
      <c r="D4" s="63"/>
      <c r="E4" s="63"/>
      <c r="F4" s="63"/>
      <c r="G4" s="63"/>
    </row>
    <row r="5" spans="1:7" x14ac:dyDescent="0.25">
      <c r="A5" s="99" t="s">
        <v>28</v>
      </c>
      <c r="B5" s="99"/>
      <c r="C5" s="63"/>
      <c r="D5" s="63" t="s">
        <v>29</v>
      </c>
      <c r="E5" s="3"/>
      <c r="F5" s="63"/>
      <c r="G5" s="63"/>
    </row>
    <row r="6" spans="1:7" ht="14.65" x14ac:dyDescent="0.4">
      <c r="A6" s="63"/>
      <c r="B6" s="63"/>
      <c r="C6" s="63"/>
      <c r="D6" s="63"/>
      <c r="E6" s="63"/>
      <c r="F6" s="63"/>
      <c r="G6" s="63"/>
    </row>
    <row r="7" spans="1:7" ht="14.65" x14ac:dyDescent="0.4">
      <c r="A7" s="63"/>
      <c r="B7" s="63"/>
      <c r="C7" s="63"/>
      <c r="D7" s="84"/>
      <c r="E7" s="84"/>
      <c r="F7" s="63"/>
      <c r="G7" s="63"/>
    </row>
    <row r="8" spans="1:7" ht="17.649999999999999" x14ac:dyDescent="0.4">
      <c r="A8" s="63"/>
      <c r="B8" s="78"/>
      <c r="C8" s="79"/>
      <c r="D8" s="78"/>
      <c r="E8" s="79"/>
      <c r="F8" s="63"/>
      <c r="G8" s="16"/>
    </row>
    <row r="9" spans="1:7" ht="14.65" x14ac:dyDescent="0.4">
      <c r="A9" s="63"/>
      <c r="B9" s="80"/>
      <c r="C9" s="81"/>
      <c r="D9" s="4" t="s">
        <v>110</v>
      </c>
      <c r="E9" s="76">
        <f>$E$22</f>
        <v>0.52586206896551724</v>
      </c>
      <c r="F9" s="63"/>
      <c r="G9" s="63"/>
    </row>
    <row r="10" spans="1:7" ht="14.65" x14ac:dyDescent="0.4">
      <c r="A10" s="63"/>
      <c r="B10" s="82"/>
      <c r="C10" s="83"/>
      <c r="D10" s="63"/>
      <c r="E10" s="63"/>
      <c r="F10" s="5"/>
      <c r="G10" s="63"/>
    </row>
    <row r="11" spans="1:7" ht="14.65" x14ac:dyDescent="0.4">
      <c r="A11" s="63"/>
      <c r="B11" s="6"/>
      <c r="C11" s="7"/>
      <c r="D11" s="63"/>
      <c r="E11" s="63"/>
      <c r="F11" s="5"/>
      <c r="G11" s="63"/>
    </row>
    <row r="12" spans="1:7" ht="14.65" x14ac:dyDescent="0.4">
      <c r="A12" s="63"/>
      <c r="B12" s="6"/>
      <c r="C12" s="7"/>
      <c r="D12" s="63"/>
      <c r="E12" s="63"/>
      <c r="F12" s="5"/>
      <c r="G12" s="63"/>
    </row>
    <row r="13" spans="1:7" ht="14.65" x14ac:dyDescent="0.4">
      <c r="A13" s="63"/>
      <c r="B13" s="6"/>
      <c r="C13" s="7"/>
      <c r="D13" s="63"/>
      <c r="E13" s="63"/>
      <c r="F13" s="5"/>
      <c r="G13" s="63"/>
    </row>
    <row r="14" spans="1:7" ht="14.65" x14ac:dyDescent="0.4">
      <c r="A14" s="8" t="s">
        <v>31</v>
      </c>
      <c r="B14" s="8"/>
      <c r="C14" s="9">
        <f>'Données brutes'!H4</f>
        <v>804098</v>
      </c>
      <c r="D14" s="60"/>
      <c r="E14" s="60"/>
      <c r="F14" s="63"/>
      <c r="G14" s="63"/>
    </row>
    <row r="15" spans="1:7" ht="14.65" x14ac:dyDescent="0.4">
      <c r="A15" s="60" t="s">
        <v>32</v>
      </c>
      <c r="B15" s="60"/>
      <c r="C15" s="9">
        <f>'Données brutes'!H7</f>
        <v>55151</v>
      </c>
      <c r="D15" s="10"/>
      <c r="E15" s="11"/>
      <c r="F15" s="12"/>
      <c r="G15" s="63"/>
    </row>
    <row r="16" spans="1:7" ht="14.65" x14ac:dyDescent="0.4">
      <c r="A16" s="60"/>
      <c r="B16" s="60"/>
      <c r="C16" s="60"/>
      <c r="D16" s="13"/>
      <c r="E16" s="60"/>
      <c r="F16" s="63"/>
      <c r="G16" s="63"/>
    </row>
    <row r="17" spans="1:8" ht="14.65" x14ac:dyDescent="0.4">
      <c r="A17" s="100" t="s">
        <v>33</v>
      </c>
      <c r="B17" s="100"/>
      <c r="C17" s="14">
        <f>C15/C14</f>
        <v>6.8587410987217975E-2</v>
      </c>
      <c r="D17" s="60"/>
      <c r="E17" s="60"/>
      <c r="F17" s="63"/>
      <c r="G17" s="63"/>
    </row>
    <row r="18" spans="1:8" ht="14.65" x14ac:dyDescent="0.4">
      <c r="A18" s="60"/>
      <c r="B18" s="60"/>
      <c r="C18" s="60"/>
      <c r="D18" s="60"/>
      <c r="E18" s="60"/>
      <c r="F18" s="63"/>
      <c r="G18" s="63"/>
    </row>
    <row r="19" spans="1:8" thickBot="1" x14ac:dyDescent="0.45">
      <c r="A19" s="60"/>
      <c r="B19" s="60"/>
      <c r="C19" s="60"/>
      <c r="D19" s="60"/>
      <c r="E19" s="60"/>
      <c r="F19" s="63"/>
      <c r="G19" s="63"/>
    </row>
    <row r="20" spans="1:8" x14ac:dyDescent="0.25">
      <c r="A20" s="63"/>
      <c r="B20" s="60"/>
      <c r="C20" s="101" t="s">
        <v>34</v>
      </c>
      <c r="D20" s="103" t="s">
        <v>35</v>
      </c>
      <c r="E20" s="105" t="s">
        <v>36</v>
      </c>
      <c r="F20" s="112" t="s">
        <v>109</v>
      </c>
      <c r="G20" s="107" t="s">
        <v>30</v>
      </c>
      <c r="H20" s="63"/>
    </row>
    <row r="21" spans="1:8" ht="15.75" thickBot="1" x14ac:dyDescent="0.3">
      <c r="A21" s="63"/>
      <c r="B21" s="60"/>
      <c r="C21" s="102"/>
      <c r="D21" s="104"/>
      <c r="E21" s="106"/>
      <c r="F21" s="113"/>
      <c r="G21" s="108"/>
      <c r="H21" s="63"/>
    </row>
    <row r="22" spans="1:8" x14ac:dyDescent="0.25">
      <c r="A22" s="16"/>
      <c r="B22" s="17" t="s">
        <v>37</v>
      </c>
      <c r="C22" s="18">
        <f>'Données brutes'!H11</f>
        <v>898</v>
      </c>
      <c r="D22" s="69">
        <f>C22/$C$15</f>
        <v>1.6282569672354082E-2</v>
      </c>
      <c r="E22" s="109">
        <f>IF(C24=0, "NA", C23/C24)</f>
        <v>0.52586206896551724</v>
      </c>
      <c r="F22" s="85">
        <f>((C23+C24)/C15)</f>
        <v>1.6046853184892386E-2</v>
      </c>
      <c r="G22" s="94">
        <f>IF($E$9="NA",0,IF(E22&lt;1,(C23+(C23/$E$9))/$C$15,IF(E22&gt;2,(C24+($E$9*C24))/$C$15,D22)))</f>
        <v>1.6046853184892386E-2</v>
      </c>
      <c r="H22" s="63"/>
    </row>
    <row r="23" spans="1:8" x14ac:dyDescent="0.25">
      <c r="A23" s="63"/>
      <c r="B23" s="20" t="s">
        <v>38</v>
      </c>
      <c r="C23" s="21">
        <f>'Données brutes'!H14</f>
        <v>305</v>
      </c>
      <c r="D23" s="70">
        <f>C23/C22</f>
        <v>0.33964365256124723</v>
      </c>
      <c r="E23" s="110"/>
      <c r="F23" s="67">
        <f>(C23/(C23+C24))</f>
        <v>0.34463276836158191</v>
      </c>
      <c r="G23" s="95" t="e">
        <f>IF(AND(D23&gt;=1, D23&lt;=3), C23, IF(H10=oui, (B25+K19*B25)/B23, (B24+B24/K19)))</f>
        <v>#NAME?</v>
      </c>
      <c r="H23" s="63"/>
    </row>
    <row r="24" spans="1:8" ht="15.75" thickBot="1" x14ac:dyDescent="0.3">
      <c r="A24" s="63"/>
      <c r="B24" s="23" t="s">
        <v>39</v>
      </c>
      <c r="C24" s="24">
        <f>'Données brutes'!H15</f>
        <v>580</v>
      </c>
      <c r="D24" s="71">
        <f>C24/C22</f>
        <v>0.6458797327394209</v>
      </c>
      <c r="E24" s="111"/>
      <c r="F24" s="86">
        <f>(C24/(C23+C24))</f>
        <v>0.65536723163841804</v>
      </c>
      <c r="G24" s="96" t="e">
        <f>IF(AND(D24&gt;=1, D24&lt;=3), C24, IF(J9=oui, (B26+G20*B26)/B24, (B25+B25/G20)))</f>
        <v>#NAME?</v>
      </c>
      <c r="H24" s="63"/>
    </row>
    <row r="25" spans="1:8" x14ac:dyDescent="0.25">
      <c r="A25" s="63"/>
      <c r="B25" s="15" t="s">
        <v>40</v>
      </c>
      <c r="C25" s="18">
        <f>'Données brutes'!H12</f>
        <v>444</v>
      </c>
      <c r="D25" s="72">
        <f>C25/$C$15</f>
        <v>8.0506246486917732E-3</v>
      </c>
      <c r="E25" s="109">
        <f>IF(C27=0, "NA", C26/C27)</f>
        <v>0.16216216216216217</v>
      </c>
      <c r="F25" s="68">
        <f>(C26+C27)/C15</f>
        <v>1.5593552247466047E-3</v>
      </c>
      <c r="G25" s="94">
        <f>IF($E$9="NA",0,IF(E25&lt;1,(C26+(C26/$E$9))/$C$15,IF(E25&gt;2,(C27+($E$9*C27))/$C$15,D25)))</f>
        <v>6.3135160071707747E-4</v>
      </c>
      <c r="H25" s="63"/>
    </row>
    <row r="26" spans="1:8" x14ac:dyDescent="0.25">
      <c r="A26" s="63"/>
      <c r="B26" s="19" t="s">
        <v>38</v>
      </c>
      <c r="C26" s="21">
        <f>'Données brutes'!H19</f>
        <v>12</v>
      </c>
      <c r="D26" s="73">
        <f>C26/C25</f>
        <v>2.7027027027027029E-2</v>
      </c>
      <c r="E26" s="110"/>
      <c r="F26" s="67">
        <f>(C26/(C26+C27))</f>
        <v>0.13953488372093023</v>
      </c>
      <c r="G26" s="95" t="e">
        <f>IF(AND(D26&gt;=1, D26&lt;=3), C26, IF(H13=oui, (B28+L22*B28)/B26, (B27+B27/L22)))</f>
        <v>#NAME?</v>
      </c>
      <c r="H26" s="63"/>
    </row>
    <row r="27" spans="1:8" ht="15.75" thickBot="1" x14ac:dyDescent="0.3">
      <c r="A27" s="63"/>
      <c r="B27" s="22" t="s">
        <v>39</v>
      </c>
      <c r="C27" s="24">
        <f>'Données brutes'!H20</f>
        <v>74</v>
      </c>
      <c r="D27" s="74">
        <f>C27/C25</f>
        <v>0.16666666666666666</v>
      </c>
      <c r="E27" s="111"/>
      <c r="F27" s="86">
        <f>(C27/(C26+C27))</f>
        <v>0.86046511627906974</v>
      </c>
      <c r="G27" s="96" t="e">
        <f>IF(AND(D27&gt;=1, D27&lt;=3), C27, IF(J12=oui, (B29+G23*B29)/B27, (B28+B28/G23)))</f>
        <v>#NAME?</v>
      </c>
      <c r="H27" s="63"/>
    </row>
    <row r="28" spans="1:8" x14ac:dyDescent="0.25">
      <c r="A28" s="63"/>
      <c r="B28" s="15" t="s">
        <v>41</v>
      </c>
      <c r="C28" s="18">
        <f>'Données brutes'!H10</f>
        <v>309</v>
      </c>
      <c r="D28" s="72">
        <f>C28/$C$15</f>
        <v>5.6027995865895455E-3</v>
      </c>
      <c r="E28" s="109">
        <f>IF(C30=0, "NA", C29/C30)</f>
        <v>4.3478260869565216E-2</v>
      </c>
      <c r="F28" s="68">
        <f>(C29+C30)/C15</f>
        <v>2.6110133995757103E-3</v>
      </c>
      <c r="G28" s="94">
        <f>IF($E$9="NA",0,IF(E28&lt;1,(C29+($E$9/C29))/$C$15,IF(E28&gt;2,(C30+($E$9*C30))/$C$15,D28)))</f>
        <v>1.1038138344111474E-4</v>
      </c>
      <c r="H28" s="63"/>
    </row>
    <row r="29" spans="1:8" x14ac:dyDescent="0.25">
      <c r="A29" s="63"/>
      <c r="B29" s="19" t="s">
        <v>38</v>
      </c>
      <c r="C29" s="21">
        <f>'Données brutes'!H24</f>
        <v>6</v>
      </c>
      <c r="D29" s="73">
        <f>C29/C28</f>
        <v>1.9417475728155338E-2</v>
      </c>
      <c r="E29" s="110"/>
      <c r="F29" s="67">
        <f>(C29/(C29+C30))</f>
        <v>4.1666666666666664E-2</v>
      </c>
      <c r="G29" s="95" t="e">
        <f>IF(AND(D29&gt;=1, D29&lt;=3), C29, IF(H16=oui, (B31+L25*B31)/B29, (B30+B30/L25)))</f>
        <v>#NAME?</v>
      </c>
      <c r="H29" s="63"/>
    </row>
    <row r="30" spans="1:8" ht="15.75" thickBot="1" x14ac:dyDescent="0.3">
      <c r="A30" s="2"/>
      <c r="B30" s="22" t="s">
        <v>39</v>
      </c>
      <c r="C30" s="24">
        <f>'Données brutes'!H25</f>
        <v>138</v>
      </c>
      <c r="D30" s="74">
        <f>C30/C28</f>
        <v>0.44660194174757284</v>
      </c>
      <c r="E30" s="111"/>
      <c r="F30" s="86">
        <f t="shared" ref="F30:F33" si="0">(C30/(C29+C30))</f>
        <v>0.95833333333333337</v>
      </c>
      <c r="G30" s="96" t="e">
        <f>IF(AND(D30&gt;=1, D30&lt;=3), C30, IF(J15=oui, (B32+G26*B32)/B30, (B31+B31/G26)))</f>
        <v>#NAME?</v>
      </c>
      <c r="H30" s="63"/>
    </row>
    <row r="31" spans="1:8" x14ac:dyDescent="0.25">
      <c r="A31" s="63"/>
      <c r="B31" s="15" t="s">
        <v>42</v>
      </c>
      <c r="C31" s="18">
        <f>'Données brutes'!H9</f>
        <v>53539</v>
      </c>
      <c r="D31" s="72">
        <f>C31/$C$15</f>
        <v>0.97077115555474969</v>
      </c>
      <c r="E31" s="109">
        <f>IF(C33=0, "NA", C32/C33)</f>
        <v>2.6211578351876298E-3</v>
      </c>
      <c r="F31" s="68">
        <f>(C32+C33)/C15</f>
        <v>0.96406230168083984</v>
      </c>
      <c r="G31" s="94">
        <f>IF($E$9="NA",0,IF(E31&lt;1,(C32+($E$9/C32))/$C$15,IF(E31&gt;2,(C33+($E$9*C33))/$C$15,D31)))</f>
        <v>2.5204218088584478E-3</v>
      </c>
      <c r="H31" s="63"/>
    </row>
    <row r="32" spans="1:8" x14ac:dyDescent="0.25">
      <c r="A32" s="63"/>
      <c r="B32" s="19" t="s">
        <v>38</v>
      </c>
      <c r="C32" s="21">
        <f>'Données brutes'!H29</f>
        <v>139</v>
      </c>
      <c r="D32" s="73">
        <f>C32/C31</f>
        <v>2.5962382562244343E-3</v>
      </c>
      <c r="E32" s="110"/>
      <c r="F32" s="67">
        <f>(C32/(C32+C33))</f>
        <v>2.6143053282928022E-3</v>
      </c>
      <c r="G32" s="95" t="e">
        <f>IF(AND(D32&gt;=1, D32&lt;=3), C32, IF(H19=oui, (B34+L28*B34)/B32, (B33+B33/L28)))</f>
        <v>#NAME?</v>
      </c>
      <c r="H32" s="63"/>
    </row>
    <row r="33" spans="1:8" ht="15.75" thickBot="1" x14ac:dyDescent="0.3">
      <c r="A33" s="63"/>
      <c r="B33" s="22" t="s">
        <v>39</v>
      </c>
      <c r="C33" s="24">
        <f>'Données brutes'!H30</f>
        <v>53030</v>
      </c>
      <c r="D33" s="74">
        <f>C33/C31</f>
        <v>0.99049291170922127</v>
      </c>
      <c r="E33" s="111"/>
      <c r="F33" s="67">
        <f t="shared" si="0"/>
        <v>0.99738569467170723</v>
      </c>
      <c r="G33" s="96" t="e">
        <f>IF(AND(D33&gt;=1, D33&lt;=3), C33, IF(J18=oui, (B35+G29*B35)/B33, (B34+B34/G29)))</f>
        <v>#NAME?</v>
      </c>
      <c r="H33" s="63"/>
    </row>
    <row r="34" spans="1:8" thickBot="1" x14ac:dyDescent="0.45">
      <c r="A34" s="63"/>
      <c r="B34" s="25" t="s">
        <v>43</v>
      </c>
      <c r="C34" s="26">
        <f>C22+C25+C28+C31</f>
        <v>55190</v>
      </c>
      <c r="D34" s="75">
        <f>D22+D25+D28+D31</f>
        <v>1.0007071494623851</v>
      </c>
      <c r="E34" s="27"/>
      <c r="F34" s="66">
        <f>F22+F25+F28+F31</f>
        <v>0.98427952349005454</v>
      </c>
      <c r="G34" s="36">
        <f>SUM(G22,G25,G28,G31)</f>
        <v>1.9309007977909028E-2</v>
      </c>
      <c r="H34" s="63"/>
    </row>
    <row r="35" spans="1:8" ht="14.65" x14ac:dyDescent="0.4">
      <c r="A35" s="63"/>
      <c r="B35" s="63"/>
      <c r="C35" s="63"/>
      <c r="D35" s="63"/>
      <c r="E35" s="63"/>
      <c r="F35" s="63"/>
      <c r="G35" s="63"/>
    </row>
    <row r="36" spans="1:8" x14ac:dyDescent="0.25">
      <c r="A36" s="63"/>
      <c r="B36" s="91" t="s">
        <v>44</v>
      </c>
      <c r="C36" s="91"/>
      <c r="D36" s="91"/>
      <c r="E36" s="28">
        <f>C17*F34</f>
        <v>6.750918420391544E-2</v>
      </c>
      <c r="F36" s="60"/>
      <c r="G36" s="63"/>
    </row>
    <row r="37" spans="1:8" ht="14.65" x14ac:dyDescent="0.4">
      <c r="A37" s="63"/>
      <c r="B37" s="60"/>
      <c r="C37" s="60"/>
      <c r="D37" s="60"/>
      <c r="E37" s="60"/>
      <c r="F37" s="60"/>
      <c r="G37" s="63"/>
    </row>
    <row r="38" spans="1:8" x14ac:dyDescent="0.25">
      <c r="A38" s="63"/>
      <c r="B38" s="92" t="s">
        <v>45</v>
      </c>
      <c r="C38" s="92"/>
      <c r="D38" s="29">
        <f>20/C14</f>
        <v>2.487259015692117E-5</v>
      </c>
      <c r="E38" s="30" t="s">
        <v>46</v>
      </c>
      <c r="F38" s="31">
        <f>20/C14</f>
        <v>2.487259015692117E-5</v>
      </c>
      <c r="G38" s="63"/>
    </row>
    <row r="39" spans="1:8" ht="14.65" x14ac:dyDescent="0.4">
      <c r="A39" s="63"/>
      <c r="B39" s="62"/>
      <c r="C39" s="62"/>
      <c r="D39" s="29"/>
      <c r="E39" s="30"/>
      <c r="F39" s="31"/>
      <c r="G39" s="63"/>
    </row>
    <row r="40" spans="1:8" ht="14.65" x14ac:dyDescent="0.4">
      <c r="A40" s="63"/>
      <c r="B40" s="88" t="s">
        <v>47</v>
      </c>
      <c r="C40" s="88"/>
      <c r="D40" s="88"/>
      <c r="E40" s="32">
        <f>IF(G34/D34&gt;0,G34/D34,0)</f>
        <v>1.9295363272144605E-2</v>
      </c>
      <c r="F40" s="32"/>
      <c r="G40" s="63"/>
    </row>
    <row r="41" spans="1:8" ht="14.65" x14ac:dyDescent="0.4">
      <c r="A41" s="63"/>
      <c r="B41" s="60"/>
      <c r="C41" s="60"/>
      <c r="D41" s="60"/>
      <c r="E41" s="60"/>
      <c r="F41" s="60"/>
      <c r="G41" s="63"/>
    </row>
    <row r="42" spans="1:8" ht="14.65" x14ac:dyDescent="0.4">
      <c r="A42" s="2"/>
      <c r="B42" s="93" t="s">
        <v>48</v>
      </c>
      <c r="C42" s="93"/>
      <c r="D42" s="93"/>
      <c r="E42" s="32">
        <f>IF(1-E40&gt;0,1-E40,0)</f>
        <v>0.98070463672785535</v>
      </c>
      <c r="F42" s="32"/>
      <c r="G42" s="63"/>
    </row>
    <row r="43" spans="1:8" ht="14.65" x14ac:dyDescent="0.4">
      <c r="A43" s="63"/>
      <c r="B43" s="61"/>
      <c r="C43" s="61"/>
      <c r="D43" s="60"/>
      <c r="E43" s="62"/>
      <c r="F43" s="60"/>
      <c r="G43" s="63"/>
    </row>
    <row r="44" spans="1:8" x14ac:dyDescent="0.25">
      <c r="A44" s="63"/>
      <c r="B44" s="87" t="s">
        <v>49</v>
      </c>
      <c r="C44" s="87"/>
      <c r="D44" s="64"/>
      <c r="E44" s="62"/>
      <c r="F44" s="60"/>
      <c r="G44" s="63"/>
    </row>
    <row r="45" spans="1:8" ht="14.65" x14ac:dyDescent="0.4">
      <c r="A45" s="63"/>
      <c r="B45" s="60"/>
      <c r="C45" s="60"/>
      <c r="D45" s="60"/>
      <c r="E45" s="60"/>
      <c r="F45" s="60"/>
      <c r="G45" s="63"/>
    </row>
    <row r="46" spans="1:8" ht="14.65" x14ac:dyDescent="0.4">
      <c r="A46" s="63"/>
      <c r="B46" s="88" t="s">
        <v>50</v>
      </c>
      <c r="C46" s="89"/>
      <c r="D46" s="89"/>
      <c r="E46" s="33">
        <f>E40*E36</f>
        <v>1.3026142334206746E-3</v>
      </c>
      <c r="F46" s="60"/>
      <c r="G46" s="63"/>
    </row>
    <row r="47" spans="1:8" ht="14.65" x14ac:dyDescent="0.4">
      <c r="A47" s="63"/>
      <c r="B47" s="60"/>
      <c r="C47" s="60"/>
      <c r="D47" s="60"/>
      <c r="E47" s="60"/>
      <c r="F47" s="60"/>
      <c r="G47" s="63"/>
    </row>
    <row r="48" spans="1:8" ht="15.4" x14ac:dyDescent="0.4">
      <c r="A48" s="63"/>
      <c r="B48" s="90" t="s">
        <v>51</v>
      </c>
      <c r="C48" s="90"/>
      <c r="D48" s="90"/>
      <c r="E48" s="90"/>
      <c r="F48" s="90"/>
      <c r="G48" s="63"/>
    </row>
    <row r="49" spans="1:7" ht="15.4" x14ac:dyDescent="0.4">
      <c r="A49" s="63"/>
      <c r="B49" s="34" t="s">
        <v>52</v>
      </c>
      <c r="C49" s="35">
        <f>E42*E36</f>
        <v>6.6206569970494761E-2</v>
      </c>
      <c r="D49" s="34"/>
      <c r="E49" s="34"/>
      <c r="F49" s="60"/>
      <c r="G49" s="63"/>
    </row>
    <row r="50" spans="1:7" ht="14.65" x14ac:dyDescent="0.4">
      <c r="A50" s="63"/>
      <c r="B50" s="60"/>
      <c r="C50" s="60"/>
      <c r="D50" s="60"/>
      <c r="E50" s="60"/>
      <c r="F50" s="60"/>
      <c r="G50" s="63"/>
    </row>
    <row r="52" spans="1:7" ht="14.65" x14ac:dyDescent="0.4">
      <c r="B52" s="8" t="s">
        <v>53</v>
      </c>
      <c r="C52" s="77">
        <f>C49*C14</f>
        <v>53236.570500134898</v>
      </c>
    </row>
  </sheetData>
  <mergeCells count="24">
    <mergeCell ref="G20:G21"/>
    <mergeCell ref="F20:F21"/>
    <mergeCell ref="A1:G1"/>
    <mergeCell ref="B3:F3"/>
    <mergeCell ref="A5:B5"/>
    <mergeCell ref="A17:B17"/>
    <mergeCell ref="C20:C21"/>
    <mergeCell ref="D20:D21"/>
    <mergeCell ref="E20:E21"/>
    <mergeCell ref="E22:E24"/>
    <mergeCell ref="G22:G24"/>
    <mergeCell ref="E25:E27"/>
    <mergeCell ref="G25:G27"/>
    <mergeCell ref="E28:E30"/>
    <mergeCell ref="G28:G30"/>
    <mergeCell ref="B44:C44"/>
    <mergeCell ref="B46:D46"/>
    <mergeCell ref="B48:F48"/>
    <mergeCell ref="E31:E33"/>
    <mergeCell ref="G31:G33"/>
    <mergeCell ref="B36:D36"/>
    <mergeCell ref="B38:C38"/>
    <mergeCell ref="B40:D40"/>
    <mergeCell ref="B42:D42"/>
  </mergeCells>
  <conditionalFormatting sqref="E22:F33">
    <cfRule type="expression" dxfId="5" priority="1" stopIfTrue="1">
      <formula>AND($C$9="non",$E22&gt;=1)</formula>
    </cfRule>
    <cfRule type="expression" dxfId="4" priority="2" stopIfTrue="1">
      <formula>AND($C$9="non", $E22&lt;1)</formula>
    </cfRule>
    <cfRule type="expression" dxfId="3" priority="3" stopIfTrue="1">
      <formula>AND($C$9="oui", $E22&lt;=2)</formula>
    </cfRule>
    <cfRule type="expression" dxfId="2" priority="4" stopIfTrue="1">
      <formula>AND($C$9="oui",$E22&gt;2)</formula>
    </cfRule>
  </conditionalFormatting>
  <dataValidations count="1">
    <dataValidation type="whole" allowBlank="1" showInputMessage="1" showErrorMessage="1" sqref="C9">
      <formula1>1</formula1>
      <formula2>2</formula2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topLeftCell="A13" workbookViewId="0">
      <selection activeCell="B31" sqref="B31"/>
    </sheetView>
  </sheetViews>
  <sheetFormatPr baseColWidth="10" defaultRowHeight="15" x14ac:dyDescent="0.25"/>
  <cols>
    <col min="1" max="1" width="18.5703125" customWidth="1"/>
    <col min="2" max="5" width="12.7109375" customWidth="1"/>
    <col min="6" max="6" width="18.5703125" customWidth="1"/>
  </cols>
  <sheetData>
    <row r="1" spans="1:6" ht="14.65" x14ac:dyDescent="0.4">
      <c r="A1" s="60"/>
      <c r="B1" s="60"/>
      <c r="C1" s="60"/>
      <c r="D1" s="60"/>
      <c r="E1" s="60"/>
      <c r="F1" s="60"/>
    </row>
    <row r="2" spans="1:6" ht="20.25" x14ac:dyDescent="0.25">
      <c r="A2" s="64"/>
      <c r="B2" s="114" t="s">
        <v>111</v>
      </c>
      <c r="C2" s="115"/>
      <c r="D2" s="115"/>
      <c r="E2" s="115"/>
      <c r="F2" s="37"/>
    </row>
    <row r="3" spans="1:6" ht="20.100000000000001" x14ac:dyDescent="0.4">
      <c r="A3" s="64"/>
      <c r="B3" s="64"/>
      <c r="C3" s="65"/>
      <c r="D3" s="38"/>
      <c r="E3" s="38"/>
      <c r="F3" s="64"/>
    </row>
    <row r="4" spans="1:6" ht="20.100000000000001" x14ac:dyDescent="0.4">
      <c r="A4" s="64"/>
      <c r="B4" s="64"/>
      <c r="C4" s="65"/>
      <c r="D4" s="38"/>
      <c r="E4" s="38"/>
      <c r="F4" s="64"/>
    </row>
    <row r="5" spans="1:6" ht="20.100000000000001" x14ac:dyDescent="0.4">
      <c r="A5" s="64"/>
      <c r="B5" s="64"/>
      <c r="C5" s="65"/>
      <c r="D5" s="38"/>
      <c r="E5" s="38"/>
      <c r="F5" s="64"/>
    </row>
    <row r="6" spans="1:6" thickBot="1" x14ac:dyDescent="0.45">
      <c r="A6" s="64"/>
      <c r="B6" s="64"/>
      <c r="C6" s="64"/>
      <c r="D6" s="64"/>
      <c r="E6" s="64"/>
      <c r="F6" s="64"/>
    </row>
    <row r="7" spans="1:6" ht="17.649999999999999" x14ac:dyDescent="0.4">
      <c r="A7" s="39" t="s">
        <v>58</v>
      </c>
      <c r="B7" s="40">
        <f>[1]Résultats!B3</f>
        <v>0</v>
      </c>
      <c r="C7" s="41"/>
      <c r="D7" s="42"/>
      <c r="E7" s="42"/>
      <c r="F7" s="43"/>
    </row>
    <row r="8" spans="1:6" thickBot="1" x14ac:dyDescent="0.45">
      <c r="A8" s="44"/>
      <c r="B8" s="45"/>
      <c r="C8" s="45"/>
      <c r="D8" s="45"/>
      <c r="E8" s="45"/>
      <c r="F8" s="46"/>
    </row>
    <row r="9" spans="1:6" ht="14.65" x14ac:dyDescent="0.4">
      <c r="A9" s="64"/>
      <c r="B9" s="64"/>
      <c r="C9" s="64"/>
      <c r="D9" s="64"/>
      <c r="E9" s="64"/>
      <c r="F9" s="64"/>
    </row>
    <row r="10" spans="1:6" ht="14.65" x14ac:dyDescent="0.4">
      <c r="A10" s="64"/>
      <c r="B10" s="64"/>
      <c r="C10" s="64"/>
      <c r="D10" s="64"/>
      <c r="E10" s="64"/>
      <c r="F10" s="64"/>
    </row>
    <row r="11" spans="1:6" ht="15.4" x14ac:dyDescent="0.4">
      <c r="A11" s="64"/>
      <c r="B11" s="116" t="s">
        <v>59</v>
      </c>
      <c r="C11" s="115"/>
      <c r="D11" s="115"/>
      <c r="E11" s="115"/>
      <c r="F11" s="64"/>
    </row>
    <row r="12" spans="1:6" ht="14.65" x14ac:dyDescent="0.4">
      <c r="A12" s="64"/>
      <c r="B12" s="117" t="s">
        <v>66</v>
      </c>
      <c r="C12" s="115"/>
      <c r="D12" s="115"/>
      <c r="E12" s="115"/>
      <c r="F12" s="64"/>
    </row>
    <row r="13" spans="1:6" ht="14.65" x14ac:dyDescent="0.4">
      <c r="A13" s="64"/>
      <c r="B13" s="64"/>
      <c r="C13" s="47"/>
      <c r="D13" s="48"/>
      <c r="E13" s="64"/>
      <c r="F13" s="64"/>
    </row>
    <row r="14" spans="1:6" ht="14.65" x14ac:dyDescent="0.4">
      <c r="A14" s="64"/>
      <c r="B14" s="64"/>
      <c r="C14" s="64"/>
      <c r="D14" s="64"/>
      <c r="E14" s="64"/>
      <c r="F14" s="64"/>
    </row>
    <row r="15" spans="1:6" ht="15.75" x14ac:dyDescent="0.25">
      <c r="A15" s="49" t="s">
        <v>60</v>
      </c>
      <c r="B15" s="50"/>
      <c r="C15" s="50"/>
      <c r="D15" s="50"/>
      <c r="E15" s="60"/>
      <c r="F15" s="51">
        <f>'Calculs '!C14</f>
        <v>804098</v>
      </c>
    </row>
    <row r="16" spans="1:6" ht="15.4" x14ac:dyDescent="0.4">
      <c r="A16" s="49"/>
      <c r="B16" s="50"/>
      <c r="C16" s="50"/>
      <c r="D16" s="50"/>
      <c r="E16" s="60"/>
      <c r="F16" s="51"/>
    </row>
    <row r="17" spans="1:6" ht="15.75" x14ac:dyDescent="0.25">
      <c r="A17" s="52" t="s">
        <v>61</v>
      </c>
      <c r="B17" s="50"/>
      <c r="C17" s="50"/>
      <c r="D17" s="50"/>
      <c r="E17" s="60"/>
      <c r="F17" s="51">
        <f>'Calculs '!C15</f>
        <v>55151</v>
      </c>
    </row>
    <row r="18" spans="1:6" ht="15.4" x14ac:dyDescent="0.4">
      <c r="A18" s="52"/>
      <c r="B18" s="50"/>
      <c r="C18" s="50"/>
      <c r="D18" s="50"/>
      <c r="E18" s="60"/>
      <c r="F18" s="51"/>
    </row>
    <row r="19" spans="1:6" ht="15.75" x14ac:dyDescent="0.25">
      <c r="A19" s="49" t="s">
        <v>62</v>
      </c>
      <c r="B19" s="50"/>
      <c r="C19" s="50"/>
      <c r="D19" s="50"/>
      <c r="E19" s="60"/>
      <c r="F19" s="53">
        <f>'Calculs '!F38</f>
        <v>2.487259015692117E-5</v>
      </c>
    </row>
    <row r="20" spans="1:6" ht="15.4" x14ac:dyDescent="0.4">
      <c r="A20" s="52"/>
      <c r="B20" s="50"/>
      <c r="C20" s="50"/>
      <c r="D20" s="50"/>
      <c r="E20" s="60"/>
      <c r="F20" s="50"/>
    </row>
    <row r="21" spans="1:6" ht="15.75" x14ac:dyDescent="0.25">
      <c r="A21" s="49" t="s">
        <v>63</v>
      </c>
      <c r="B21" s="50"/>
      <c r="C21" s="50"/>
      <c r="D21" s="50"/>
      <c r="E21" s="60"/>
      <c r="F21" s="54">
        <f>'Calculs '!C49</f>
        <v>6.6206569970494761E-2</v>
      </c>
    </row>
    <row r="22" spans="1:6" ht="15.4" x14ac:dyDescent="0.4">
      <c r="A22" s="52"/>
      <c r="B22" s="50"/>
      <c r="C22" s="50"/>
      <c r="D22" s="50"/>
      <c r="E22" s="60"/>
      <c r="F22" s="55"/>
    </row>
    <row r="23" spans="1:6" ht="15.75" x14ac:dyDescent="0.25">
      <c r="A23" s="56" t="s">
        <v>64</v>
      </c>
      <c r="B23" s="50"/>
      <c r="C23" s="60"/>
      <c r="D23" s="50"/>
      <c r="E23" s="60"/>
      <c r="F23" s="57">
        <f>'Calculs '!C49</f>
        <v>6.6206569970494761E-2</v>
      </c>
    </row>
    <row r="24" spans="1:6" ht="14.65" x14ac:dyDescent="0.4">
      <c r="A24" s="64"/>
      <c r="B24" s="64"/>
      <c r="C24" s="64"/>
      <c r="D24" s="64"/>
      <c r="E24" s="64"/>
      <c r="F24" s="64"/>
    </row>
    <row r="25" spans="1:6" ht="14.65" x14ac:dyDescent="0.4">
      <c r="A25" s="64"/>
      <c r="B25" s="64"/>
      <c r="C25" s="64"/>
      <c r="D25" s="64"/>
      <c r="E25" s="64"/>
      <c r="F25" s="64"/>
    </row>
    <row r="26" spans="1:6" ht="15.4" x14ac:dyDescent="0.4">
      <c r="A26" s="58" t="s">
        <v>65</v>
      </c>
      <c r="B26" s="59"/>
      <c r="C26" s="59"/>
      <c r="D26" s="59"/>
      <c r="E26" s="118" t="str">
        <f>IF(F21&gt;F19,"DETECTABLE","INDETECTABLE")</f>
        <v>DETECTABLE</v>
      </c>
      <c r="F26" s="119"/>
    </row>
  </sheetData>
  <mergeCells count="4">
    <mergeCell ref="B2:E2"/>
    <mergeCell ref="B11:E11"/>
    <mergeCell ref="B12:E12"/>
    <mergeCell ref="E26:F26"/>
  </mergeCells>
  <conditionalFormatting sqref="E9">
    <cfRule type="cellIs" dxfId="1" priority="1" stopIfTrue="1" operator="equal">
      <formula>"NEG"</formula>
    </cfRule>
    <cfRule type="cellIs" dxfId="0" priority="2" stopIfTrue="1" operator="equal">
      <formula>"POS"</formula>
    </cfRule>
  </conditionalFormatting>
  <dataValidations count="1">
    <dataValidation type="list" allowBlank="1" showInputMessage="1" showErrorMessage="1" sqref="A11:A13">
      <formula1>Commentaire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Données brutes</vt:lpstr>
      <vt:lpstr>Calculs </vt:lpstr>
      <vt:lpstr>Résultat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Fnac</dc:creator>
  <cp:lastModifiedBy>WUILLEME Soraya</cp:lastModifiedBy>
  <dcterms:created xsi:type="dcterms:W3CDTF">2021-01-17T13:52:44Z</dcterms:created>
  <dcterms:modified xsi:type="dcterms:W3CDTF">2021-05-08T12:26:25Z</dcterms:modified>
</cp:coreProperties>
</file>